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EABAFD4F-23B1-49DF-8C5B-FA1722E8726C}" xr6:coauthVersionLast="47" xr6:coauthVersionMax="47" xr10:uidLastSave="{00000000-0000-0000-0000-000000000000}"/>
  <bookViews>
    <workbookView xWindow="-108" yWindow="-108" windowWidth="23256" windowHeight="13896" xr2:uid="{00000000-000D-0000-FFFF-FFFF00000000}"/>
  </bookViews>
  <sheets>
    <sheet name="シミュレーション" sheetId="1" r:id="rId1"/>
  </sheets>
  <definedNames>
    <definedName name="_xlnm.Print_Area" localSheetId="0">シミュレーション!$C$1:$AS$31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1" i="1" l="1"/>
  <c r="AE21" i="1" s="1"/>
  <c r="AL21" i="1"/>
  <c r="AL22" i="1"/>
  <c r="AL23" i="1"/>
  <c r="H25" i="1" l="1"/>
  <c r="H23" i="1"/>
  <c r="H22" i="1"/>
  <c r="H21" i="1"/>
  <c r="AP9" i="1" l="1"/>
  <c r="AP10" i="1" s="1"/>
  <c r="N16" i="1"/>
  <c r="N15" i="1"/>
  <c r="N14" i="1"/>
  <c r="N13" i="1"/>
  <c r="AI15" i="1"/>
  <c r="AK17" i="1"/>
  <c r="AI9" i="1"/>
  <c r="H19" i="1" l="1"/>
  <c r="AI14" i="1"/>
  <c r="AI10" i="1"/>
  <c r="AI11" i="1"/>
  <c r="Y11" i="1"/>
  <c r="Z11" i="1" s="1"/>
  <c r="N19" i="1"/>
  <c r="N18" i="1"/>
  <c r="Y14" i="1"/>
  <c r="Z14" i="1" s="1"/>
  <c r="Y10" i="1"/>
  <c r="Y16" i="1" s="1"/>
  <c r="Z16" i="1" s="1"/>
  <c r="Y9" i="1"/>
  <c r="Y8" i="1"/>
  <c r="Z8" i="1" s="1"/>
  <c r="Y15" i="1" l="1"/>
  <c r="Z15" i="1" s="1"/>
  <c r="Y21" i="1" s="1"/>
  <c r="Z9" i="1"/>
  <c r="Y20" i="1" s="1"/>
  <c r="Z10" i="1"/>
  <c r="AA11" i="1" s="1"/>
  <c r="AA18" i="1" l="1"/>
  <c r="Y18" i="1"/>
  <c r="AA9" i="1"/>
  <c r="AA21" i="1" l="1"/>
  <c r="AA23" i="1" s="1"/>
  <c r="Y19" i="1"/>
  <c r="H16" i="1" l="1"/>
  <c r="O10" i="1"/>
  <c r="N27" i="1"/>
  <c r="N26" i="1"/>
  <c r="N25" i="1"/>
  <c r="N24" i="1"/>
  <c r="N23" i="1"/>
  <c r="N21" i="1"/>
  <c r="N20" i="1"/>
  <c r="I3" i="1"/>
  <c r="AF21" i="1" s="1"/>
  <c r="I5" i="1" l="1"/>
  <c r="I4" i="1"/>
  <c r="AN31" i="1" s="1"/>
  <c r="AD22" i="1" l="1"/>
  <c r="H26" i="1"/>
  <c r="X24" i="1"/>
  <c r="AI17" i="1" l="1"/>
  <c r="O9" i="1"/>
  <c r="G30" i="1"/>
  <c r="AI16" i="1"/>
  <c r="AH37" i="1" s="1"/>
  <c r="AN32" i="1" l="1"/>
  <c r="AN33" i="1" s="1"/>
  <c r="AJ37" i="1" s="1"/>
  <c r="AK37" i="1" s="1"/>
  <c r="AI33" i="1"/>
  <c r="AH33" i="1"/>
  <c r="AH32" i="1" l="1"/>
  <c r="AI32" i="1"/>
  <c r="AP11" i="1" l="1"/>
  <c r="AP14" i="1" s="1"/>
  <c r="AP15" i="1" l="1"/>
  <c r="AI34" i="1" l="1"/>
  <c r="AI35" i="1" s="1"/>
  <c r="AH34" i="1"/>
  <c r="AH35" i="1" s="1"/>
  <c r="AK35" i="1" l="1"/>
  <c r="S15" i="1" s="1"/>
</calcChain>
</file>

<file path=xl/sharedStrings.xml><?xml version="1.0" encoding="utf-8"?>
<sst xmlns="http://schemas.openxmlformats.org/spreadsheetml/2006/main" count="128" uniqueCount="117">
  <si>
    <t>割合</t>
    <rPh sb="0" eb="2">
      <t>ワリアイ</t>
    </rPh>
    <phoneticPr fontId="1"/>
  </si>
  <si>
    <t>課税総所得金額－人的控除差調整額</t>
    <rPh sb="0" eb="2">
      <t>カゼイ</t>
    </rPh>
    <rPh sb="2" eb="5">
      <t>ソウショトク</t>
    </rPh>
    <rPh sb="5" eb="7">
      <t>キンガク</t>
    </rPh>
    <rPh sb="8" eb="10">
      <t>ジンテキ</t>
    </rPh>
    <rPh sb="10" eb="12">
      <t>コウジョ</t>
    </rPh>
    <rPh sb="12" eb="13">
      <t>サ</t>
    </rPh>
    <rPh sb="13" eb="15">
      <t>チョウセイ</t>
    </rPh>
    <rPh sb="15" eb="16">
      <t>ガク</t>
    </rPh>
    <phoneticPr fontId="1"/>
  </si>
  <si>
    <t>　　　        ～1,950,000　</t>
    <phoneticPr fontId="1"/>
  </si>
  <si>
    <t>1,950,001～3,300,000</t>
    <phoneticPr fontId="1"/>
  </si>
  <si>
    <t>3,300,001~6,950,000</t>
    <phoneticPr fontId="1"/>
  </si>
  <si>
    <t>6,950,001~9,000,000</t>
    <phoneticPr fontId="1"/>
  </si>
  <si>
    <t>表１</t>
    <rPh sb="0" eb="1">
      <t>ヒョウ</t>
    </rPh>
    <phoneticPr fontId="1"/>
  </si>
  <si>
    <t>※　参考までに計算式は　→　所得割額（調整控除後）×20%÷（９０％−所得税率×１.０２１）　+2000　=　寄付金の限度額です。</t>
    <rPh sb="2" eb="4">
      <t>サンコウ</t>
    </rPh>
    <rPh sb="7" eb="9">
      <t>ケイサン</t>
    </rPh>
    <rPh sb="9" eb="10">
      <t>シキ</t>
    </rPh>
    <phoneticPr fontId="1"/>
  </si>
  <si>
    <t>課税総所得金額から人的控除の所得税分と住民税分の差額を引いた額</t>
    <rPh sb="14" eb="17">
      <t>ショトクゼイ</t>
    </rPh>
    <rPh sb="17" eb="18">
      <t>ブン</t>
    </rPh>
    <rPh sb="19" eb="22">
      <t>ジュウミンゼイ</t>
    </rPh>
    <rPh sb="22" eb="23">
      <t>ブン</t>
    </rPh>
    <rPh sb="24" eb="26">
      <t>サガク</t>
    </rPh>
    <rPh sb="27" eb="28">
      <t>ヒ</t>
    </rPh>
    <rPh sb="30" eb="31">
      <t>ガク</t>
    </rPh>
    <phoneticPr fontId="1"/>
  </si>
  <si>
    <t>以下大体の計算式</t>
    <rPh sb="0" eb="2">
      <t>イカ</t>
    </rPh>
    <rPh sb="2" eb="4">
      <t>ダイタイ</t>
    </rPh>
    <rPh sb="5" eb="7">
      <t>ケイサン</t>
    </rPh>
    <rPh sb="7" eb="8">
      <t>シキ</t>
    </rPh>
    <phoneticPr fontId="1"/>
  </si>
  <si>
    <t xml:space="preserve">          　9,000,001~18,000,000</t>
    <phoneticPr fontId="1"/>
  </si>
  <si>
    <t>18,000,001～40,000,000</t>
    <phoneticPr fontId="1"/>
  </si>
  <si>
    <t>40,000,000超</t>
    <rPh sb="10" eb="11">
      <t>チョウ</t>
    </rPh>
    <phoneticPr fontId="1"/>
  </si>
  <si>
    <t>給与収入</t>
    <rPh sb="0" eb="2">
      <t>キュウヨ</t>
    </rPh>
    <rPh sb="2" eb="4">
      <t>シュウニュウ</t>
    </rPh>
    <phoneticPr fontId="1"/>
  </si>
  <si>
    <t>給与所得</t>
    <rPh sb="0" eb="2">
      <t>キュウヨ</t>
    </rPh>
    <rPh sb="2" eb="4">
      <t>ショトク</t>
    </rPh>
    <phoneticPr fontId="1"/>
  </si>
  <si>
    <t>年金所得</t>
    <rPh sb="0" eb="4">
      <t>ネンキンショトク</t>
    </rPh>
    <phoneticPr fontId="1"/>
  </si>
  <si>
    <t>その他所得</t>
    <rPh sb="2" eb="3">
      <t>タ</t>
    </rPh>
    <rPh sb="3" eb="5">
      <t>ショトク</t>
    </rPh>
    <phoneticPr fontId="1"/>
  </si>
  <si>
    <t>所得計</t>
    <rPh sb="0" eb="2">
      <t>ショトク</t>
    </rPh>
    <rPh sb="2" eb="3">
      <t>ケイ</t>
    </rPh>
    <phoneticPr fontId="1"/>
  </si>
  <si>
    <t>扶養親族</t>
    <rPh sb="0" eb="4">
      <t>フヨウシンゾク</t>
    </rPh>
    <phoneticPr fontId="1"/>
  </si>
  <si>
    <t>特定親族</t>
    <rPh sb="0" eb="2">
      <t>トクテイ</t>
    </rPh>
    <rPh sb="2" eb="4">
      <t>シンゾク</t>
    </rPh>
    <phoneticPr fontId="1"/>
  </si>
  <si>
    <t>障害者控除</t>
    <rPh sb="0" eb="3">
      <t>ショウガイシャ</t>
    </rPh>
    <rPh sb="3" eb="5">
      <t>コウジョ</t>
    </rPh>
    <phoneticPr fontId="1"/>
  </si>
  <si>
    <t>本人</t>
    <rPh sb="0" eb="2">
      <t>ホンニン</t>
    </rPh>
    <phoneticPr fontId="1"/>
  </si>
  <si>
    <t>　</t>
  </si>
  <si>
    <t>配偶者控除</t>
    <rPh sb="0" eb="3">
      <t>ハイグウシャ</t>
    </rPh>
    <rPh sb="3" eb="5">
      <t>コウジョ</t>
    </rPh>
    <phoneticPr fontId="1"/>
  </si>
  <si>
    <t>支払った医療費</t>
    <rPh sb="0" eb="2">
      <t>シハラ</t>
    </rPh>
    <rPh sb="4" eb="7">
      <t>イリョウヒ</t>
    </rPh>
    <phoneticPr fontId="1"/>
  </si>
  <si>
    <t>補填金</t>
    <rPh sb="0" eb="3">
      <t>ホテンキン</t>
    </rPh>
    <phoneticPr fontId="1"/>
  </si>
  <si>
    <t>社会保険料</t>
    <rPh sb="0" eb="5">
      <t>シャカイホケンリョウ</t>
    </rPh>
    <phoneticPr fontId="1"/>
  </si>
  <si>
    <t>小規模事業</t>
    <rPh sb="0" eb="5">
      <t>ショウキボジギョウ</t>
    </rPh>
    <phoneticPr fontId="1"/>
  </si>
  <si>
    <t>新生命保険</t>
    <rPh sb="0" eb="1">
      <t>シン</t>
    </rPh>
    <rPh sb="1" eb="3">
      <t>セイメイ</t>
    </rPh>
    <rPh sb="3" eb="5">
      <t>ホケン</t>
    </rPh>
    <phoneticPr fontId="7"/>
  </si>
  <si>
    <t>新生計算用</t>
    <rPh sb="0" eb="2">
      <t>シンセイ</t>
    </rPh>
    <rPh sb="2" eb="4">
      <t>ケイサン</t>
    </rPh>
    <rPh sb="4" eb="5">
      <t>ヨウ</t>
    </rPh>
    <phoneticPr fontId="7"/>
  </si>
  <si>
    <t>旧生命保険</t>
    <rPh sb="0" eb="1">
      <t>キュウ</t>
    </rPh>
    <rPh sb="1" eb="3">
      <t>セイメイ</t>
    </rPh>
    <rPh sb="3" eb="5">
      <t>ホケン</t>
    </rPh>
    <phoneticPr fontId="7"/>
  </si>
  <si>
    <t>旧生計算用</t>
    <rPh sb="0" eb="1">
      <t>キュウ</t>
    </rPh>
    <rPh sb="1" eb="2">
      <t>セイ</t>
    </rPh>
    <rPh sb="2" eb="4">
      <t>ケイサン</t>
    </rPh>
    <rPh sb="4" eb="5">
      <t>ヨウ</t>
    </rPh>
    <phoneticPr fontId="7"/>
  </si>
  <si>
    <t>新個人年金</t>
    <rPh sb="0" eb="1">
      <t>シン</t>
    </rPh>
    <rPh sb="1" eb="3">
      <t>コジン</t>
    </rPh>
    <rPh sb="3" eb="5">
      <t>ネンキン</t>
    </rPh>
    <phoneticPr fontId="7"/>
  </si>
  <si>
    <t>新個人計算用</t>
    <rPh sb="0" eb="1">
      <t>シン</t>
    </rPh>
    <rPh sb="1" eb="3">
      <t>コジン</t>
    </rPh>
    <rPh sb="3" eb="6">
      <t>ケイサンヨウ</t>
    </rPh>
    <phoneticPr fontId="7"/>
  </si>
  <si>
    <t>旧個人年金</t>
    <rPh sb="0" eb="1">
      <t>キュウ</t>
    </rPh>
    <rPh sb="1" eb="3">
      <t>コジン</t>
    </rPh>
    <rPh sb="3" eb="5">
      <t>ネンキン</t>
    </rPh>
    <phoneticPr fontId="7"/>
  </si>
  <si>
    <t>旧個人計算用</t>
    <rPh sb="0" eb="1">
      <t>キュウ</t>
    </rPh>
    <rPh sb="1" eb="3">
      <t>コジン</t>
    </rPh>
    <rPh sb="3" eb="6">
      <t>ケイサンヨウ</t>
    </rPh>
    <phoneticPr fontId="7"/>
  </si>
  <si>
    <t>介護医療</t>
    <rPh sb="0" eb="2">
      <t>カイゴ</t>
    </rPh>
    <rPh sb="2" eb="4">
      <t>イリョウ</t>
    </rPh>
    <phoneticPr fontId="7"/>
  </si>
  <si>
    <t>介護医療計算用</t>
    <rPh sb="0" eb="2">
      <t>カイゴ</t>
    </rPh>
    <rPh sb="2" eb="4">
      <t>イリョウ</t>
    </rPh>
    <rPh sb="4" eb="6">
      <t>ケイサン</t>
    </rPh>
    <rPh sb="6" eb="7">
      <t>ヨウ</t>
    </rPh>
    <phoneticPr fontId="7"/>
  </si>
  <si>
    <t>新+旧</t>
    <rPh sb="0" eb="1">
      <t>シン</t>
    </rPh>
    <rPh sb="2" eb="3">
      <t>キュウ</t>
    </rPh>
    <phoneticPr fontId="7"/>
  </si>
  <si>
    <t>新+旧（個人年金）</t>
    <rPh sb="0" eb="1">
      <t>シン</t>
    </rPh>
    <rPh sb="2" eb="3">
      <t>キュウ</t>
    </rPh>
    <rPh sb="4" eb="6">
      <t>コジン</t>
    </rPh>
    <rPh sb="6" eb="8">
      <t>ネンキン</t>
    </rPh>
    <phoneticPr fontId="7"/>
  </si>
  <si>
    <t>Wなし</t>
    <phoneticPr fontId="7"/>
  </si>
  <si>
    <t>新+旧のみＷ</t>
    <rPh sb="0" eb="1">
      <t>シン</t>
    </rPh>
    <rPh sb="2" eb="3">
      <t>キュウ</t>
    </rPh>
    <phoneticPr fontId="7"/>
  </si>
  <si>
    <t>新+旧（個人年金）のみＷ</t>
    <rPh sb="0" eb="1">
      <t>シン</t>
    </rPh>
    <rPh sb="2" eb="3">
      <t>キュウ</t>
    </rPh>
    <rPh sb="4" eb="6">
      <t>コジン</t>
    </rPh>
    <rPh sb="6" eb="8">
      <t>ネンキン</t>
    </rPh>
    <phoneticPr fontId="7"/>
  </si>
  <si>
    <t>解</t>
    <rPh sb="0" eb="1">
      <t>カイ</t>
    </rPh>
    <phoneticPr fontId="7"/>
  </si>
  <si>
    <t>両方Ｗ</t>
    <rPh sb="0" eb="2">
      <t>リョウホウ</t>
    </rPh>
    <phoneticPr fontId="7"/>
  </si>
  <si>
    <t>上限設定</t>
    <rPh sb="0" eb="2">
      <t>ジョウゲン</t>
    </rPh>
    <rPh sb="2" eb="4">
      <t>セッテイ</t>
    </rPh>
    <phoneticPr fontId="7"/>
  </si>
  <si>
    <t>控除額</t>
    <rPh sb="0" eb="2">
      <t>コウジョ</t>
    </rPh>
    <rPh sb="2" eb="3">
      <t>ガク</t>
    </rPh>
    <phoneticPr fontId="7"/>
  </si>
  <si>
    <t>生保住民税計算用</t>
    <rPh sb="0" eb="2">
      <t>セイホ</t>
    </rPh>
    <rPh sb="2" eb="5">
      <t>ジュウミンゼイ</t>
    </rPh>
    <rPh sb="5" eb="8">
      <t>ケイサンヨウ</t>
    </rPh>
    <phoneticPr fontId="7"/>
  </si>
  <si>
    <t>年金収入（65歳以上）</t>
    <rPh sb="0" eb="4">
      <t>ネンキンシュウニュウ</t>
    </rPh>
    <rPh sb="7" eb="8">
      <t>サイ</t>
    </rPh>
    <phoneticPr fontId="1"/>
  </si>
  <si>
    <t>年金収入（65歳未満）</t>
    <rPh sb="0" eb="4">
      <t>ネンキンシュウニュウ</t>
    </rPh>
    <rPh sb="7" eb="8">
      <t>サイ</t>
    </rPh>
    <phoneticPr fontId="1"/>
  </si>
  <si>
    <t>雑損控除</t>
    <rPh sb="0" eb="4">
      <t>ザッソンコウジョ</t>
    </rPh>
    <phoneticPr fontId="1"/>
  </si>
  <si>
    <t>控除計</t>
    <rPh sb="0" eb="2">
      <t>コウジョ</t>
    </rPh>
    <rPh sb="2" eb="3">
      <t>ケイ</t>
    </rPh>
    <phoneticPr fontId="1"/>
  </si>
  <si>
    <t>所得金額調整控除計算用</t>
    <rPh sb="0" eb="4">
      <t>ショトクキンガク</t>
    </rPh>
    <rPh sb="4" eb="8">
      <t>チョウセイコウジョ</t>
    </rPh>
    <rPh sb="8" eb="11">
      <t>ケイサンヨウ</t>
    </rPh>
    <phoneticPr fontId="1"/>
  </si>
  <si>
    <t>県民税</t>
    <rPh sb="0" eb="3">
      <t>ケンミンゼイ</t>
    </rPh>
    <phoneticPr fontId="1"/>
  </si>
  <si>
    <t>市民税</t>
    <rPh sb="0" eb="3">
      <t>シミンゼイ</t>
    </rPh>
    <phoneticPr fontId="1"/>
  </si>
  <si>
    <t>調整控除</t>
    <rPh sb="0" eb="4">
      <t>チョウセイコウジョ</t>
    </rPh>
    <phoneticPr fontId="1"/>
  </si>
  <si>
    <t>算出所得割</t>
    <phoneticPr fontId="1"/>
  </si>
  <si>
    <t>税額計算</t>
    <rPh sb="0" eb="4">
      <t>ゼイガクケイサン</t>
    </rPh>
    <phoneticPr fontId="1"/>
  </si>
  <si>
    <t>小計</t>
    <rPh sb="0" eb="2">
      <t>ショウケイ</t>
    </rPh>
    <phoneticPr fontId="1"/>
  </si>
  <si>
    <t>基礎控除</t>
    <rPh sb="0" eb="4">
      <t>キソコウジョ</t>
    </rPh>
    <phoneticPr fontId="1"/>
  </si>
  <si>
    <t>→</t>
    <phoneticPr fontId="1"/>
  </si>
  <si>
    <t>人的控除の差額</t>
    <rPh sb="0" eb="4">
      <t>ジンテキコウジョ</t>
    </rPh>
    <rPh sb="5" eb="7">
      <t>サガク</t>
    </rPh>
    <phoneticPr fontId="1"/>
  </si>
  <si>
    <t>人的控除の差額計算用</t>
    <rPh sb="0" eb="4">
      <t>ジンテキコウジョ</t>
    </rPh>
    <rPh sb="5" eb="7">
      <t>サガク</t>
    </rPh>
    <rPh sb="7" eb="10">
      <t>ケイサンヨウ</t>
    </rPh>
    <phoneticPr fontId="1"/>
  </si>
  <si>
    <t>障害者控除</t>
    <rPh sb="0" eb="5">
      <t>ショウガイシャコウジョ</t>
    </rPh>
    <phoneticPr fontId="1"/>
  </si>
  <si>
    <t>寡婦控除</t>
    <rPh sb="0" eb="4">
      <t>カフコウジョ</t>
    </rPh>
    <phoneticPr fontId="1"/>
  </si>
  <si>
    <t>ひとり親控除</t>
    <rPh sb="3" eb="6">
      <t>オヤコウジョ</t>
    </rPh>
    <phoneticPr fontId="1"/>
  </si>
  <si>
    <t>勤労学生控除</t>
    <rPh sb="0" eb="2">
      <t>キンロウ</t>
    </rPh>
    <rPh sb="2" eb="4">
      <t>ガクセイ</t>
    </rPh>
    <rPh sb="4" eb="6">
      <t>コウジョ</t>
    </rPh>
    <phoneticPr fontId="1"/>
  </si>
  <si>
    <t>扶養控除</t>
    <rPh sb="0" eb="4">
      <t>フヨウコウジョ</t>
    </rPh>
    <phoneticPr fontId="1"/>
  </si>
  <si>
    <t>基礎控除</t>
    <rPh sb="0" eb="4">
      <t>キソコウジョ</t>
    </rPh>
    <phoneticPr fontId="1"/>
  </si>
  <si>
    <t>配偶者控除</t>
    <rPh sb="0" eb="5">
      <t>ハイグウシャコウジョ</t>
    </rPh>
    <phoneticPr fontId="1"/>
  </si>
  <si>
    <t>配偶者特別控除</t>
    <rPh sb="0" eb="7">
      <t>ハイグウシャトクベツコウジョ</t>
    </rPh>
    <phoneticPr fontId="1"/>
  </si>
  <si>
    <t>配特用給与所得</t>
    <rPh sb="0" eb="3">
      <t>ハイトクヨウ</t>
    </rPh>
    <rPh sb="3" eb="7">
      <t>キュウヨショトク</t>
    </rPh>
    <phoneticPr fontId="1"/>
  </si>
  <si>
    <t>→</t>
    <phoneticPr fontId="1"/>
  </si>
  <si>
    <t>総所得課標</t>
    <rPh sb="0" eb="3">
      <t>ソウショトク</t>
    </rPh>
    <rPh sb="3" eb="4">
      <t>カ</t>
    </rPh>
    <rPh sb="4" eb="5">
      <t>ヒョウ</t>
    </rPh>
    <phoneticPr fontId="1"/>
  </si>
  <si>
    <t>※自己負担額2,000円でできる限度額の概算になります。</t>
    <rPh sb="1" eb="6">
      <t>ジコフタンガク</t>
    </rPh>
    <rPh sb="11" eb="12">
      <t>エン</t>
    </rPh>
    <rPh sb="16" eb="19">
      <t>ゲンドガク</t>
    </rPh>
    <rPh sb="20" eb="22">
      <t>ガイサン</t>
    </rPh>
    <phoneticPr fontId="1"/>
  </si>
  <si>
    <t>所得金額調整控除</t>
    <rPh sb="0" eb="8">
      <t>ショトクキンガクチョウセイコウジョ</t>
    </rPh>
    <phoneticPr fontId="1"/>
  </si>
  <si>
    <t>所得金額調整控除計算用</t>
    <rPh sb="0" eb="4">
      <t>ショトクキンガク</t>
    </rPh>
    <rPh sb="4" eb="8">
      <t>チョウセイコウジョ</t>
    </rPh>
    <rPh sb="8" eb="11">
      <t>ケイサンヨウ</t>
    </rPh>
    <phoneticPr fontId="1"/>
  </si>
  <si>
    <t>所得税率　５％、
所得割額（調整控除後）×２１分の５（÷４．２）＋２０００円
１０％
所得割額（調整控除後）×４分の１（÷４）＋２０００円
２０％
所得割額（調整控除後）×７分の２（÷３．５）＋２０００円
２３％
所得割額（調整控除後）×３３分の１０（÷３．３）＋２０００円
３３％
所得割額（調整控除後）×２８分の１０（÷２．８）＋２０００円
所得税率３３％以上は３３％の計算式と同じ</t>
    <phoneticPr fontId="1"/>
  </si>
  <si>
    <t>調整措置</t>
    <rPh sb="0" eb="4">
      <t>チョウセイソチ</t>
    </rPh>
    <phoneticPr fontId="1"/>
  </si>
  <si>
    <t>所得割の調整措置計算用</t>
    <rPh sb="0" eb="3">
      <t>ショトクワリ</t>
    </rPh>
    <rPh sb="4" eb="8">
      <t>チョウセイソチ</t>
    </rPh>
    <rPh sb="8" eb="11">
      <t>ケイサンヨウ</t>
    </rPh>
    <phoneticPr fontId="1"/>
  </si>
  <si>
    <t>該当を選択した場合</t>
    <rPh sb="0" eb="2">
      <t>ガイトウ</t>
    </rPh>
    <rPh sb="3" eb="5">
      <t>センタク</t>
    </rPh>
    <rPh sb="7" eb="9">
      <t>バアイ</t>
    </rPh>
    <phoneticPr fontId="1"/>
  </si>
  <si>
    <t>両方ある場合</t>
    <rPh sb="0" eb="2">
      <t>リョウホウ</t>
    </rPh>
    <rPh sb="4" eb="6">
      <t>バアイ</t>
    </rPh>
    <phoneticPr fontId="1"/>
  </si>
  <si>
    <t>所得割の調整措置計算用</t>
    <rPh sb="0" eb="3">
      <t>ショトクワリ</t>
    </rPh>
    <rPh sb="4" eb="6">
      <t>チョウセイ</t>
    </rPh>
    <rPh sb="6" eb="8">
      <t>ソチ</t>
    </rPh>
    <rPh sb="8" eb="10">
      <t>ケイサン</t>
    </rPh>
    <rPh sb="10" eb="11">
      <t>ヨウ</t>
    </rPh>
    <phoneticPr fontId="1"/>
  </si>
  <si>
    <t>人数</t>
    <rPh sb="0" eb="2">
      <t>ニンズウ</t>
    </rPh>
    <phoneticPr fontId="1"/>
  </si>
  <si>
    <t>所割非課税基準</t>
    <rPh sb="0" eb="2">
      <t>ショワリ</t>
    </rPh>
    <rPh sb="2" eb="5">
      <t>ヒカゼイ</t>
    </rPh>
    <rPh sb="5" eb="7">
      <t>キジュン</t>
    </rPh>
    <phoneticPr fontId="1"/>
  </si>
  <si>
    <t>対象の判定</t>
    <rPh sb="0" eb="2">
      <t>タイショウ</t>
    </rPh>
    <rPh sb="3" eb="5">
      <t>ハンテイ</t>
    </rPh>
    <phoneticPr fontId="1"/>
  </si>
  <si>
    <t>所得割</t>
    <rPh sb="0" eb="3">
      <t>ショトクワリ</t>
    </rPh>
    <phoneticPr fontId="1"/>
  </si>
  <si>
    <t>調整控除額</t>
    <rPh sb="0" eb="2">
      <t>チョウセイ</t>
    </rPh>
    <rPh sb="2" eb="5">
      <t>コウジョガク</t>
    </rPh>
    <phoneticPr fontId="1"/>
  </si>
  <si>
    <t>地震保険</t>
    <rPh sb="0" eb="4">
      <t>ジシンホケン</t>
    </rPh>
    <phoneticPr fontId="1"/>
  </si>
  <si>
    <t>控除額</t>
    <rPh sb="0" eb="3">
      <t>コウジョガク</t>
    </rPh>
    <phoneticPr fontId="1"/>
  </si>
  <si>
    <t>地震保険料計算用</t>
    <rPh sb="0" eb="5">
      <t>ジシンホケンリョウ</t>
    </rPh>
    <rPh sb="5" eb="8">
      <t>ケイサンヨウ</t>
    </rPh>
    <phoneticPr fontId="1"/>
  </si>
  <si>
    <t>地震保険</t>
    <rPh sb="0" eb="2">
      <t>ジシン</t>
    </rPh>
    <rPh sb="2" eb="4">
      <t>ホケン</t>
    </rPh>
    <phoneticPr fontId="1"/>
  </si>
  <si>
    <t>両方</t>
    <rPh sb="0" eb="2">
      <t>リョウホウ</t>
    </rPh>
    <phoneticPr fontId="1"/>
  </si>
  <si>
    <t>旧長期</t>
    <rPh sb="0" eb="1">
      <t>キュウ</t>
    </rPh>
    <rPh sb="1" eb="3">
      <t>チョウキ</t>
    </rPh>
    <phoneticPr fontId="1"/>
  </si>
  <si>
    <t>セルフメディケーション</t>
    <phoneticPr fontId="1"/>
  </si>
  <si>
    <t>　</t>
    <phoneticPr fontId="1"/>
  </si>
  <si>
    <t>配偶者特別控除</t>
    <phoneticPr fontId="1"/>
  </si>
  <si>
    <t>※配偶者の給与収入を入力してください。</t>
    <rPh sb="10" eb="12">
      <t>ニュウリョク</t>
    </rPh>
    <phoneticPr fontId="1"/>
  </si>
  <si>
    <t>生命保険</t>
    <rPh sb="0" eb="2">
      <t>セイメイ</t>
    </rPh>
    <rPh sb="2" eb="4">
      <t>ホケン</t>
    </rPh>
    <phoneticPr fontId="1"/>
  </si>
  <si>
    <t>地震
保険</t>
    <rPh sb="0" eb="2">
      <t>ジシン</t>
    </rPh>
    <rPh sb="3" eb="5">
      <t>ホケン</t>
    </rPh>
    <phoneticPr fontId="1"/>
  </si>
  <si>
    <t>医療費</t>
    <rPh sb="0" eb="2">
      <t>イリョウ</t>
    </rPh>
    <rPh sb="2" eb="3">
      <t>ヒ</t>
    </rPh>
    <phoneticPr fontId="1"/>
  </si>
  <si>
    <t>年少扶養</t>
    <rPh sb="0" eb="2">
      <t>ネンショウ</t>
    </rPh>
    <rPh sb="2" eb="4">
      <t>フヨウ</t>
    </rPh>
    <phoneticPr fontId="1"/>
  </si>
  <si>
    <t>一般扶養</t>
    <rPh sb="0" eb="2">
      <t>イッパン</t>
    </rPh>
    <rPh sb="2" eb="4">
      <t>フヨウ</t>
    </rPh>
    <phoneticPr fontId="1"/>
  </si>
  <si>
    <t>特定扶養</t>
    <rPh sb="0" eb="2">
      <t>トクテイ</t>
    </rPh>
    <rPh sb="2" eb="4">
      <t>フヨウ</t>
    </rPh>
    <phoneticPr fontId="1"/>
  </si>
  <si>
    <t>老人扶養</t>
    <rPh sb="0" eb="2">
      <t>ロウジン</t>
    </rPh>
    <rPh sb="2" eb="4">
      <t>フヨウ</t>
    </rPh>
    <phoneticPr fontId="1"/>
  </si>
  <si>
    <t>同居老親等</t>
    <rPh sb="0" eb="4">
      <t>ドウキョロウシン</t>
    </rPh>
    <rPh sb="4" eb="5">
      <t>トウ</t>
    </rPh>
    <phoneticPr fontId="1"/>
  </si>
  <si>
    <t xml:space="preserve">特定親族の
給与収入
※該当人数分入力ください </t>
    <rPh sb="0" eb="2">
      <t>トクテイ</t>
    </rPh>
    <rPh sb="2" eb="4">
      <t>シンゾク</t>
    </rPh>
    <rPh sb="6" eb="8">
      <t>キュウヨ</t>
    </rPh>
    <rPh sb="8" eb="10">
      <t>シュウニュウ</t>
    </rPh>
    <rPh sb="12" eb="14">
      <t>ガイトウ</t>
    </rPh>
    <rPh sb="14" eb="17">
      <t>ニンズウブン</t>
    </rPh>
    <rPh sb="17" eb="19">
      <t>ニュウリョク</t>
    </rPh>
    <phoneticPr fontId="1"/>
  </si>
  <si>
    <t xml:space="preserve">扶養者
※該当人数分入力ください </t>
    <rPh sb="0" eb="3">
      <t>フヨウシャ</t>
    </rPh>
    <phoneticPr fontId="1"/>
  </si>
  <si>
    <r>
      <t>その他所得欄については、</t>
    </r>
    <r>
      <rPr>
        <u/>
        <sz val="11"/>
        <color theme="1"/>
        <rFont val="游ゴシック"/>
        <family val="3"/>
        <charset val="128"/>
        <scheme val="minor"/>
      </rPr>
      <t>必要経費等を引いた後の所得金額を入力</t>
    </r>
    <r>
      <rPr>
        <sz val="11"/>
        <color theme="1"/>
        <rFont val="游ゴシック"/>
        <family val="3"/>
        <charset val="128"/>
        <scheme val="minor"/>
      </rPr>
      <t>してください。</t>
    </r>
    <rPh sb="2" eb="6">
      <t>タショトクラン</t>
    </rPh>
    <rPh sb="12" eb="16">
      <t>ヒツヨウケイヒ</t>
    </rPh>
    <rPh sb="16" eb="17">
      <t>トウ</t>
    </rPh>
    <rPh sb="18" eb="19">
      <t>ヒ</t>
    </rPh>
    <rPh sb="21" eb="22">
      <t>アト</t>
    </rPh>
    <rPh sb="23" eb="25">
      <t>ショトク</t>
    </rPh>
    <rPh sb="25" eb="27">
      <t>キンガク</t>
    </rPh>
    <rPh sb="28" eb="30">
      <t>ニュウリョク</t>
    </rPh>
    <phoneticPr fontId="1"/>
  </si>
  <si>
    <t>ひとり親控除</t>
    <rPh sb="3" eb="4">
      <t>オヤ</t>
    </rPh>
    <rPh sb="4" eb="6">
      <t>コウジョ</t>
    </rPh>
    <phoneticPr fontId="1"/>
  </si>
  <si>
    <t>寡婦控除</t>
    <rPh sb="0" eb="2">
      <t>カフ</t>
    </rPh>
    <rPh sb="2" eb="4">
      <t>コウジョ</t>
    </rPh>
    <phoneticPr fontId="1"/>
  </si>
  <si>
    <t>勤労学生控除</t>
    <rPh sb="0" eb="4">
      <t>キンロウガクセイ</t>
    </rPh>
    <rPh sb="4" eb="6">
      <t>コウジョ</t>
    </rPh>
    <phoneticPr fontId="1"/>
  </si>
  <si>
    <t>ふるさと納税
寄付金限度額</t>
    <rPh sb="4" eb="6">
      <t>ノウゼイ</t>
    </rPh>
    <rPh sb="7" eb="13">
      <t>キフキンゲンドガク</t>
    </rPh>
    <phoneticPr fontId="1"/>
  </si>
  <si>
    <t>ふるさと納税の寄付金限度額シミュレーション</t>
    <rPh sb="4" eb="6">
      <t>ノウゼイ</t>
    </rPh>
    <rPh sb="7" eb="10">
      <t>キフキン</t>
    </rPh>
    <rPh sb="10" eb="12">
      <t>ゲンド</t>
    </rPh>
    <rPh sb="12" eb="13">
      <t>ガク</t>
    </rPh>
    <phoneticPr fontId="1"/>
  </si>
  <si>
    <r>
      <t>※所得税における課税標準額と市民税・県民税における課税標準額に乖離がある場合、</t>
    </r>
    <r>
      <rPr>
        <u/>
        <sz val="12"/>
        <color theme="1"/>
        <rFont val="游ゴシック"/>
        <family val="3"/>
        <charset val="128"/>
        <scheme val="minor"/>
      </rPr>
      <t>自己負担額が増える場合があります（寄付金控除が満額使用できない場合があります）。</t>
    </r>
    <rPh sb="1" eb="4">
      <t>ショトクゼイ</t>
    </rPh>
    <rPh sb="8" eb="13">
      <t>カゼイヒョウジュンガク</t>
    </rPh>
    <rPh sb="14" eb="17">
      <t>シミンゼイ</t>
    </rPh>
    <rPh sb="18" eb="21">
      <t>ケンミンゼイ</t>
    </rPh>
    <rPh sb="25" eb="30">
      <t>カゼイヒョウジュンガク</t>
    </rPh>
    <rPh sb="31" eb="33">
      <t>カイリ</t>
    </rPh>
    <rPh sb="36" eb="38">
      <t>バアイ</t>
    </rPh>
    <rPh sb="39" eb="44">
      <t>ジコフタンガク</t>
    </rPh>
    <rPh sb="45" eb="46">
      <t>フ</t>
    </rPh>
    <rPh sb="48" eb="50">
      <t>バアイ</t>
    </rPh>
    <rPh sb="56" eb="61">
      <t>キフキンコウジョ</t>
    </rPh>
    <rPh sb="62" eb="64">
      <t>マンガク</t>
    </rPh>
    <rPh sb="64" eb="66">
      <t>シヨウ</t>
    </rPh>
    <rPh sb="70" eb="72">
      <t>バアイ</t>
    </rPh>
    <phoneticPr fontId="1"/>
  </si>
  <si>
    <r>
      <t>※シミュレーション結果はあくまで参考値としてご利用ください。</t>
    </r>
    <r>
      <rPr>
        <u/>
        <sz val="12"/>
        <color rgb="FFFF0000"/>
        <rFont val="游ゴシック"/>
        <family val="3"/>
        <charset val="128"/>
        <scheme val="minor"/>
      </rPr>
      <t>実際の計算結果とは異なる場合もありますのでご留意ください。</t>
    </r>
    <rPh sb="9" eb="11">
      <t>ケッカ</t>
    </rPh>
    <rPh sb="16" eb="18">
      <t>サンコウ</t>
    </rPh>
    <rPh sb="18" eb="19">
      <t>チ</t>
    </rPh>
    <rPh sb="23" eb="25">
      <t>リヨウ</t>
    </rPh>
    <rPh sb="30" eb="32">
      <t>ジッサイ</t>
    </rPh>
    <rPh sb="33" eb="37">
      <t>ケイサンケッカ</t>
    </rPh>
    <rPh sb="39" eb="40">
      <t>コト</t>
    </rPh>
    <rPh sb="42" eb="44">
      <t>バアイ</t>
    </rPh>
    <rPh sb="52" eb="54">
      <t>リュウイ</t>
    </rPh>
    <phoneticPr fontId="1"/>
  </si>
  <si>
    <t>※本人が給与収入850万超えであり、本人もしくは扶養親族のいずれかが特別障害、または23歳未満の扶養者がいる場合に「該当」を選んでください。</t>
    <rPh sb="1" eb="3">
      <t>ホンニン</t>
    </rPh>
    <rPh sb="4" eb="8">
      <t>キュウヨシュウニュウ</t>
    </rPh>
    <rPh sb="11" eb="12">
      <t>マン</t>
    </rPh>
    <rPh sb="12" eb="13">
      <t>コ</t>
    </rPh>
    <rPh sb="18" eb="20">
      <t>ホンニン</t>
    </rPh>
    <rPh sb="24" eb="28">
      <t>フヨウシンゾク</t>
    </rPh>
    <rPh sb="34" eb="35">
      <t>トク</t>
    </rPh>
    <rPh sb="35" eb="36">
      <t>ベツ</t>
    </rPh>
    <rPh sb="36" eb="38">
      <t>ショウガイ</t>
    </rPh>
    <rPh sb="44" eb="47">
      <t>サイミマン</t>
    </rPh>
    <rPh sb="48" eb="50">
      <t>フヨウ</t>
    </rPh>
    <rPh sb="50" eb="51">
      <t>シャ</t>
    </rPh>
    <rPh sb="54" eb="56">
      <t>バアイ</t>
    </rPh>
    <rPh sb="58" eb="60">
      <t>ガイトウ</t>
    </rPh>
    <rPh sb="62" eb="63">
      <t>エラ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</si>
</sst>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5" x14ac:knownFonts="1">
    <font>
      <sz val="11"/>
      <color theme="1"/>
      <name val="游ゴシック"/>
      <family val="2"/>
      <scheme val="minor"/>
    </font>
    <font>
      <sz val="6"/>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1"/>
      <color theme="1"/>
      <name val="游ゴシック"/>
      <family val="2"/>
      <scheme val="minor"/>
    </font>
    <font>
      <sz val="10"/>
      <color theme="1"/>
      <name val="游ゴシック"/>
      <family val="3"/>
      <charset val="128"/>
      <scheme val="minor"/>
    </font>
    <font>
      <sz val="11"/>
      <color theme="1"/>
      <name val="游ゴシック"/>
      <family val="3"/>
      <charset val="128"/>
      <scheme val="minor"/>
    </font>
    <font>
      <sz val="6"/>
      <name val="游ゴシック"/>
      <family val="2"/>
      <charset val="128"/>
      <scheme val="minor"/>
    </font>
    <font>
      <b/>
      <sz val="24"/>
      <color theme="1"/>
      <name val="游ゴシック"/>
      <family val="3"/>
      <charset val="128"/>
      <scheme val="minor"/>
    </font>
    <font>
      <b/>
      <sz val="22"/>
      <color theme="1"/>
      <name val="游ゴシック"/>
      <family val="3"/>
      <charset val="128"/>
      <scheme val="minor"/>
    </font>
    <font>
      <u/>
      <sz val="11"/>
      <color theme="1"/>
      <name val="游ゴシック"/>
      <family val="3"/>
      <charset val="128"/>
      <scheme val="minor"/>
    </font>
    <font>
      <b/>
      <sz val="30"/>
      <color rgb="FFFF0000"/>
      <name val="游ゴシック"/>
      <family val="3"/>
      <charset val="128"/>
      <scheme val="minor"/>
    </font>
    <font>
      <sz val="12"/>
      <color theme="1"/>
      <name val="游ゴシック"/>
      <family val="3"/>
      <charset val="128"/>
      <scheme val="minor"/>
    </font>
    <font>
      <u/>
      <sz val="12"/>
      <color theme="1"/>
      <name val="游ゴシック"/>
      <family val="3"/>
      <charset val="128"/>
      <scheme val="minor"/>
    </font>
    <font>
      <u/>
      <sz val="12"/>
      <color rgb="FFFF0000"/>
      <name val="游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7" tint="0.39997558519241921"/>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auto="1"/>
      </left>
      <right/>
      <top/>
      <bottom/>
      <diagonal/>
    </border>
    <border>
      <left style="medium">
        <color indexed="64"/>
      </left>
      <right/>
      <top/>
      <bottom/>
      <diagonal/>
    </border>
    <border>
      <left/>
      <right style="medium">
        <color indexed="64"/>
      </right>
      <top/>
      <bottom/>
      <diagonal/>
    </border>
  </borders>
  <cellStyleXfs count="2">
    <xf numFmtId="0" fontId="0" fillId="0" borderId="0"/>
    <xf numFmtId="38" fontId="4" fillId="0" borderId="0" applyFont="0" applyFill="0" applyBorder="0" applyAlignment="0" applyProtection="0">
      <alignment vertical="center"/>
    </xf>
  </cellStyleXfs>
  <cellXfs count="98">
    <xf numFmtId="0" fontId="0" fillId="0" borderId="0" xfId="0"/>
    <xf numFmtId="0" fontId="0" fillId="0" borderId="0" xfId="0" applyBorder="1" applyAlignment="1">
      <alignment vertical="top" wrapText="1"/>
    </xf>
    <xf numFmtId="0" fontId="0" fillId="0" borderId="0" xfId="0" applyAlignment="1">
      <alignment vertical="center"/>
    </xf>
    <xf numFmtId="0" fontId="0" fillId="0" borderId="0" xfId="0" applyAlignment="1">
      <alignment horizontal="center" vertical="center"/>
    </xf>
    <xf numFmtId="0" fontId="3" fillId="0" borderId="0" xfId="0" applyFont="1" applyAlignment="1">
      <alignment vertical="center"/>
    </xf>
    <xf numFmtId="0" fontId="0" fillId="0" borderId="0" xfId="0" applyBorder="1" applyAlignment="1">
      <alignment vertical="center"/>
    </xf>
    <xf numFmtId="0" fontId="0" fillId="0" borderId="1" xfId="0" applyBorder="1" applyAlignment="1">
      <alignment horizontal="center" vertical="center"/>
    </xf>
    <xf numFmtId="38" fontId="0" fillId="0" borderId="1" xfId="1" applyFont="1" applyBorder="1" applyAlignment="1">
      <alignment vertical="center"/>
    </xf>
    <xf numFmtId="49" fontId="0" fillId="0" borderId="0" xfId="0" applyNumberFormat="1" applyAlignment="1">
      <alignment vertical="center"/>
    </xf>
    <xf numFmtId="38" fontId="0" fillId="0" borderId="0" xfId="1" applyFont="1" applyAlignment="1">
      <alignment vertical="center"/>
    </xf>
    <xf numFmtId="0" fontId="0" fillId="0" borderId="1" xfId="0" applyBorder="1" applyAlignment="1">
      <alignment vertical="center"/>
    </xf>
    <xf numFmtId="176" fontId="0" fillId="0" borderId="1" xfId="0" applyNumberFormat="1" applyBorder="1" applyAlignment="1">
      <alignment horizontal="center" vertical="center"/>
    </xf>
    <xf numFmtId="10" fontId="0" fillId="0" borderId="1" xfId="0" applyNumberFormat="1" applyBorder="1" applyAlignment="1">
      <alignment horizontal="center" vertical="center"/>
    </xf>
    <xf numFmtId="0" fontId="0" fillId="0" borderId="0" xfId="0" applyAlignment="1">
      <alignment horizontal="left" vertical="center"/>
    </xf>
    <xf numFmtId="0" fontId="0" fillId="0" borderId="1" xfId="0" applyBorder="1" applyAlignment="1">
      <alignment vertical="center" shrinkToFit="1"/>
    </xf>
    <xf numFmtId="38" fontId="0" fillId="0" borderId="1" xfId="0" applyNumberFormat="1" applyBorder="1" applyAlignment="1">
      <alignment vertical="center"/>
    </xf>
    <xf numFmtId="38" fontId="0" fillId="0" borderId="1" xfId="1" applyFont="1" applyBorder="1">
      <alignment vertical="center"/>
    </xf>
    <xf numFmtId="0" fontId="0" fillId="0" borderId="0" xfId="0" applyBorder="1" applyAlignment="1">
      <alignment horizontal="center" vertical="center"/>
    </xf>
    <xf numFmtId="38" fontId="0" fillId="0" borderId="0" xfId="1" applyFont="1" applyBorder="1" applyAlignment="1">
      <alignment vertical="center"/>
    </xf>
    <xf numFmtId="0" fontId="2" fillId="0" borderId="0" xfId="0" applyFont="1" applyFill="1" applyBorder="1" applyAlignment="1">
      <alignment horizontal="center" vertical="center"/>
    </xf>
    <xf numFmtId="176" fontId="0" fillId="0" borderId="0" xfId="0" applyNumberFormat="1" applyBorder="1" applyAlignment="1">
      <alignment horizontal="center" vertical="center"/>
    </xf>
    <xf numFmtId="10" fontId="0" fillId="0" borderId="0" xfId="0" applyNumberFormat="1" applyBorder="1" applyAlignment="1">
      <alignment horizontal="center" vertical="center"/>
    </xf>
    <xf numFmtId="38" fontId="2" fillId="2" borderId="7" xfId="1" applyFont="1" applyFill="1" applyBorder="1" applyAlignment="1">
      <alignment horizontal="right" vertical="center"/>
    </xf>
    <xf numFmtId="38" fontId="2" fillId="2" borderId="8" xfId="0" applyNumberFormat="1" applyFont="1" applyFill="1" applyBorder="1" applyAlignment="1">
      <alignment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38" fontId="2" fillId="2" borderId="7" xfId="0" applyNumberFormat="1" applyFont="1" applyFill="1" applyBorder="1" applyAlignment="1">
      <alignment vertical="center"/>
    </xf>
    <xf numFmtId="38" fontId="2" fillId="2" borderId="3" xfId="0" applyNumberFormat="1" applyFont="1" applyFill="1" applyBorder="1" applyAlignment="1">
      <alignment vertical="center"/>
    </xf>
    <xf numFmtId="0" fontId="0" fillId="0" borderId="1" xfId="0" applyBorder="1" applyAlignment="1">
      <alignment horizontal="center" vertical="center" shrinkToFit="1"/>
    </xf>
    <xf numFmtId="0" fontId="0" fillId="0" borderId="2" xfId="0" applyBorder="1" applyAlignment="1">
      <alignment vertical="center" shrinkToFit="1"/>
    </xf>
    <xf numFmtId="176" fontId="2" fillId="2" borderId="3" xfId="0" applyNumberFormat="1" applyFont="1" applyFill="1" applyBorder="1" applyAlignment="1">
      <alignment vertical="center"/>
    </xf>
    <xf numFmtId="38" fontId="2" fillId="2" borderId="3" xfId="1" applyFont="1" applyFill="1" applyBorder="1" applyAlignment="1">
      <alignment vertical="center"/>
    </xf>
    <xf numFmtId="176" fontId="0" fillId="0" borderId="0" xfId="0" applyNumberFormat="1" applyBorder="1" applyAlignment="1">
      <alignment vertical="center"/>
    </xf>
    <xf numFmtId="38" fontId="0" fillId="0" borderId="0" xfId="0" applyNumberFormat="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38" fontId="0" fillId="0" borderId="4" xfId="1" applyFont="1" applyBorder="1" applyAlignment="1">
      <alignment vertical="center"/>
    </xf>
    <xf numFmtId="38" fontId="0" fillId="0" borderId="1" xfId="1" applyFont="1" applyBorder="1" applyAlignment="1">
      <alignment horizontal="center" vertical="center"/>
    </xf>
    <xf numFmtId="38" fontId="0" fillId="0" borderId="1" xfId="0" applyNumberFormat="1" applyBorder="1" applyAlignment="1">
      <alignment horizontal="center" vertical="center"/>
    </xf>
    <xf numFmtId="0" fontId="0" fillId="0" borderId="0" xfId="0" applyAlignment="1">
      <alignment vertical="center"/>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5"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2" xfId="0" applyBorder="1" applyAlignment="1">
      <alignment horizontal="center" vertical="center"/>
    </xf>
    <xf numFmtId="0" fontId="9" fillId="0" borderId="0" xfId="0" applyFont="1" applyAlignment="1">
      <alignment vertical="center"/>
    </xf>
    <xf numFmtId="0" fontId="5" fillId="0" borderId="0" xfId="0" applyFont="1" applyBorder="1" applyAlignment="1">
      <alignment vertical="center"/>
    </xf>
    <xf numFmtId="0" fontId="5" fillId="0" borderId="0" xfId="0" applyFont="1" applyAlignment="1">
      <alignment vertical="center"/>
    </xf>
    <xf numFmtId="0" fontId="9" fillId="0" borderId="0" xfId="0" applyFont="1" applyAlignment="1">
      <alignment horizontal="center" vertical="center" textRotation="255"/>
    </xf>
    <xf numFmtId="0" fontId="6" fillId="0" borderId="0" xfId="0" applyFont="1" applyBorder="1" applyAlignment="1">
      <alignment horizontal="center" vertical="center"/>
    </xf>
    <xf numFmtId="38" fontId="6" fillId="0" borderId="0" xfId="1" applyFont="1" applyFill="1" applyBorder="1" applyAlignment="1" applyProtection="1">
      <alignment vertical="center"/>
      <protection locked="0"/>
    </xf>
    <xf numFmtId="0" fontId="9" fillId="0" borderId="0" xfId="0" applyFont="1" applyAlignment="1">
      <alignment vertical="center" textRotation="255"/>
    </xf>
    <xf numFmtId="0" fontId="0" fillId="0" borderId="1" xfId="0" applyBorder="1" applyAlignment="1">
      <alignment horizontal="center" vertical="center"/>
    </xf>
    <xf numFmtId="0" fontId="0" fillId="0" borderId="0" xfId="0" applyAlignment="1">
      <alignment vertical="center" wrapText="1"/>
    </xf>
    <xf numFmtId="0" fontId="5" fillId="0" borderId="0" xfId="0" applyFont="1" applyBorder="1" applyAlignment="1">
      <alignment vertical="center" wrapText="1"/>
    </xf>
    <xf numFmtId="38" fontId="2" fillId="2" borderId="1" xfId="1" applyFont="1" applyFill="1" applyBorder="1" applyAlignment="1" applyProtection="1">
      <alignment vertical="center"/>
      <protection locked="0"/>
    </xf>
    <xf numFmtId="38" fontId="2" fillId="2" borderId="1" xfId="1" applyFont="1" applyFill="1" applyBorder="1" applyProtection="1">
      <alignment vertical="center"/>
      <protection locked="0"/>
    </xf>
    <xf numFmtId="0" fontId="2" fillId="2" borderId="1" xfId="0" applyFont="1" applyFill="1" applyBorder="1" applyAlignment="1" applyProtection="1">
      <alignment horizontal="center" vertical="center"/>
      <protection locked="0"/>
    </xf>
    <xf numFmtId="38" fontId="2" fillId="2" borderId="1" xfId="1" applyFont="1" applyFill="1" applyBorder="1" applyAlignment="1" applyProtection="1">
      <alignment horizontal="center" vertical="center"/>
      <protection locked="0"/>
    </xf>
    <xf numFmtId="0" fontId="2" fillId="2" borderId="1" xfId="0" applyFont="1" applyFill="1" applyBorder="1" applyAlignment="1" applyProtection="1">
      <alignment vertical="center"/>
      <protection locked="0"/>
    </xf>
    <xf numFmtId="0" fontId="5" fillId="0" borderId="15"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vertical="center" wrapText="1"/>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3" xfId="0" applyFont="1" applyBorder="1" applyAlignment="1">
      <alignment horizontal="center" vertical="center" wrapText="1"/>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8" fillId="0" borderId="14" xfId="0" applyFont="1" applyBorder="1" applyAlignment="1">
      <alignment horizontal="center" vertical="center"/>
    </xf>
    <xf numFmtId="38" fontId="11" fillId="3" borderId="10" xfId="1" applyFont="1" applyFill="1" applyBorder="1" applyAlignment="1">
      <alignment horizontal="center" vertical="center"/>
    </xf>
    <xf numFmtId="38" fontId="11" fillId="3" borderId="12" xfId="1" applyFont="1" applyFill="1" applyBorder="1" applyAlignment="1">
      <alignment horizontal="center" vertical="center"/>
    </xf>
    <xf numFmtId="38" fontId="11" fillId="3" borderId="16" xfId="1" applyFont="1" applyFill="1" applyBorder="1" applyAlignment="1">
      <alignment horizontal="center" vertical="center"/>
    </xf>
    <xf numFmtId="38" fontId="11" fillId="3" borderId="17" xfId="1" applyFont="1" applyFill="1" applyBorder="1" applyAlignment="1">
      <alignment horizontal="center" vertical="center"/>
    </xf>
    <xf numFmtId="38" fontId="11" fillId="3" borderId="13" xfId="1" applyFont="1" applyFill="1" applyBorder="1" applyAlignment="1">
      <alignment horizontal="center" vertical="center"/>
    </xf>
    <xf numFmtId="38" fontId="11" fillId="3" borderId="8" xfId="1" applyFont="1" applyFill="1" applyBorder="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0" fillId="0" borderId="1"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2" fillId="0" borderId="1" xfId="0" applyFont="1" applyFill="1" applyBorder="1" applyAlignment="1">
      <alignment horizontal="center" vertical="center"/>
    </xf>
    <xf numFmtId="3" fontId="0" fillId="0" borderId="1" xfId="0" applyNumberFormat="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top" wrapText="1"/>
    </xf>
    <xf numFmtId="0" fontId="0" fillId="0" borderId="4" xfId="0" applyBorder="1" applyAlignment="1">
      <alignment horizontal="center" vertical="center"/>
    </xf>
    <xf numFmtId="0" fontId="0" fillId="0" borderId="4" xfId="0" applyFill="1" applyBorder="1" applyAlignment="1">
      <alignment horizontal="center" vertical="center" wrapText="1"/>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1" xfId="0" applyBorder="1" applyAlignment="1">
      <alignment horizontal="center" vertical="center" textRotation="255"/>
    </xf>
    <xf numFmtId="0" fontId="0" fillId="0" borderId="1" xfId="0" applyBorder="1" applyAlignment="1">
      <alignment horizontal="center" vertical="center" wrapText="1"/>
    </xf>
    <xf numFmtId="0" fontId="0" fillId="0" borderId="1" xfId="0" applyFill="1" applyBorder="1" applyAlignment="1">
      <alignment horizontal="center" vertical="center" textRotation="255"/>
    </xf>
    <xf numFmtId="0" fontId="6" fillId="0" borderId="2" xfId="0" applyFont="1" applyBorder="1" applyAlignment="1">
      <alignment horizontal="center" vertical="center"/>
    </xf>
    <xf numFmtId="0" fontId="6"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428625</xdr:colOff>
      <xdr:row>1</xdr:row>
      <xdr:rowOff>85725</xdr:rowOff>
    </xdr:from>
    <xdr:to>
      <xdr:col>19</xdr:col>
      <xdr:colOff>19050</xdr:colOff>
      <xdr:row>6</xdr:row>
      <xdr:rowOff>104775</xdr:rowOff>
    </xdr:to>
    <xdr:sp macro="" textlink="">
      <xdr:nvSpPr>
        <xdr:cNvPr id="13" name="正方形/長方形 12">
          <a:extLst>
            <a:ext uri="{FF2B5EF4-FFF2-40B4-BE49-F238E27FC236}">
              <a16:creationId xmlns:a16="http://schemas.microsoft.com/office/drawing/2014/main" id="{253120DD-5F12-DD1D-4CE1-53599933C165}"/>
            </a:ext>
          </a:extLst>
        </xdr:cNvPr>
        <xdr:cNvSpPr/>
      </xdr:nvSpPr>
      <xdr:spPr>
        <a:xfrm>
          <a:off x="561975" y="333375"/>
          <a:ext cx="12982575" cy="1257300"/>
        </a:xfrm>
        <a:prstGeom prst="rect">
          <a:avLst/>
        </a:prstGeom>
        <a:noFill/>
        <a:ln w="28575">
          <a:solidFill>
            <a:schemeClr val="accent2">
              <a:lumMod val="60000"/>
              <a:lumOff val="40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163286</xdr:colOff>
      <xdr:row>2</xdr:row>
      <xdr:rowOff>10885</xdr:rowOff>
    </xdr:from>
    <xdr:to>
      <xdr:col>2</xdr:col>
      <xdr:colOff>707571</xdr:colOff>
      <xdr:row>5</xdr:row>
      <xdr:rowOff>228600</xdr:rowOff>
    </xdr:to>
    <xdr:sp macro="" textlink="">
      <xdr:nvSpPr>
        <xdr:cNvPr id="7" name="テキスト ボックス 6">
          <a:extLst>
            <a:ext uri="{FF2B5EF4-FFF2-40B4-BE49-F238E27FC236}">
              <a16:creationId xmlns:a16="http://schemas.microsoft.com/office/drawing/2014/main" id="{A12D9387-C874-4425-23BC-DCAA7C7B2BD3}"/>
            </a:ext>
          </a:extLst>
        </xdr:cNvPr>
        <xdr:cNvSpPr txBox="1"/>
      </xdr:nvSpPr>
      <xdr:spPr>
        <a:xfrm>
          <a:off x="296636" y="506185"/>
          <a:ext cx="544285" cy="960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ysClr val="windowText" lastClr="000000"/>
              </a:solidFill>
            </a:rPr>
            <a:t>収入</a:t>
          </a:r>
        </a:p>
      </xdr:txBody>
    </xdr:sp>
    <xdr:clientData/>
  </xdr:twoCellAnchor>
  <xdr:twoCellAnchor>
    <xdr:from>
      <xdr:col>2</xdr:col>
      <xdr:colOff>426720</xdr:colOff>
      <xdr:row>7</xdr:row>
      <xdr:rowOff>91440</xdr:rowOff>
    </xdr:from>
    <xdr:to>
      <xdr:col>17</xdr:col>
      <xdr:colOff>375920</xdr:colOff>
      <xdr:row>30</xdr:row>
      <xdr:rowOff>132080</xdr:rowOff>
    </xdr:to>
    <xdr:sp macro="" textlink="">
      <xdr:nvSpPr>
        <xdr:cNvPr id="2" name="フリーフォーム: 図形 1">
          <a:extLst>
            <a:ext uri="{FF2B5EF4-FFF2-40B4-BE49-F238E27FC236}">
              <a16:creationId xmlns:a16="http://schemas.microsoft.com/office/drawing/2014/main" id="{A4605A6C-77A6-C955-275D-1EA0AEA881FA}"/>
            </a:ext>
          </a:extLst>
        </xdr:cNvPr>
        <xdr:cNvSpPr/>
      </xdr:nvSpPr>
      <xdr:spPr>
        <a:xfrm>
          <a:off x="2052320" y="1869440"/>
          <a:ext cx="11450320" cy="5882640"/>
        </a:xfrm>
        <a:custGeom>
          <a:avLst/>
          <a:gdLst>
            <a:gd name="connsiteX0" fmla="*/ 0 w 11450320"/>
            <a:gd name="connsiteY0" fmla="*/ 0 h 5882640"/>
            <a:gd name="connsiteX1" fmla="*/ 0 w 11450320"/>
            <a:gd name="connsiteY1" fmla="*/ 5882640 h 5882640"/>
            <a:gd name="connsiteX2" fmla="*/ 9469120 w 11450320"/>
            <a:gd name="connsiteY2" fmla="*/ 5882640 h 5882640"/>
            <a:gd name="connsiteX3" fmla="*/ 9469120 w 11450320"/>
            <a:gd name="connsiteY3" fmla="*/ 883920 h 5882640"/>
            <a:gd name="connsiteX4" fmla="*/ 11450320 w 11450320"/>
            <a:gd name="connsiteY4" fmla="*/ 883920 h 5882640"/>
            <a:gd name="connsiteX5" fmla="*/ 11450320 w 11450320"/>
            <a:gd name="connsiteY5" fmla="*/ 30480 h 5882640"/>
            <a:gd name="connsiteX6" fmla="*/ 10160 w 11450320"/>
            <a:gd name="connsiteY6" fmla="*/ 30480 h 58826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450320" h="5882640">
              <a:moveTo>
                <a:pt x="0" y="0"/>
              </a:moveTo>
              <a:lnTo>
                <a:pt x="0" y="5882640"/>
              </a:lnTo>
              <a:lnTo>
                <a:pt x="9469120" y="5882640"/>
              </a:lnTo>
              <a:lnTo>
                <a:pt x="9469120" y="883920"/>
              </a:lnTo>
              <a:lnTo>
                <a:pt x="11450320" y="883920"/>
              </a:lnTo>
              <a:lnTo>
                <a:pt x="11450320" y="30480"/>
              </a:lnTo>
              <a:lnTo>
                <a:pt x="10160" y="30480"/>
              </a:lnTo>
            </a:path>
          </a:pathLst>
        </a:custGeom>
        <a:ln w="28575">
          <a:prstDash val="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174171</xdr:colOff>
      <xdr:row>14</xdr:row>
      <xdr:rowOff>217713</xdr:rowOff>
    </xdr:from>
    <xdr:to>
      <xdr:col>2</xdr:col>
      <xdr:colOff>718456</xdr:colOff>
      <xdr:row>23</xdr:row>
      <xdr:rowOff>142874</xdr:rowOff>
    </xdr:to>
    <xdr:sp macro="" textlink="">
      <xdr:nvSpPr>
        <xdr:cNvPr id="8" name="テキスト ボックス 7">
          <a:extLst>
            <a:ext uri="{FF2B5EF4-FFF2-40B4-BE49-F238E27FC236}">
              <a16:creationId xmlns:a16="http://schemas.microsoft.com/office/drawing/2014/main" id="{A194D49F-EEFF-4003-A35B-3DA5EE8EE1BF}"/>
            </a:ext>
          </a:extLst>
        </xdr:cNvPr>
        <xdr:cNvSpPr txBox="1"/>
      </xdr:nvSpPr>
      <xdr:spPr>
        <a:xfrm>
          <a:off x="307521" y="3684813"/>
          <a:ext cx="544285" cy="21540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ysClr val="windowText" lastClr="000000"/>
              </a:solidFill>
            </a:rPr>
            <a:t>所得控除</a:t>
          </a:r>
          <a:endParaRPr kumimoji="1" lang="en-US" altLang="ja-JP" sz="20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P59"/>
  <sheetViews>
    <sheetView showGridLines="0" tabSelected="1" zoomScale="75" zoomScaleNormal="75" zoomScaleSheetLayoutView="70" zoomScalePageLayoutView="80" workbookViewId="0">
      <selection activeCell="G12" sqref="G12"/>
    </sheetView>
  </sheetViews>
  <sheetFormatPr defaultRowHeight="18" x14ac:dyDescent="0.45"/>
  <cols>
    <col min="1" max="1" width="10.69921875" style="2" customWidth="1"/>
    <col min="2" max="2" width="10.69921875" style="40" customWidth="1"/>
    <col min="3" max="3" width="10.59765625" style="2" customWidth="1"/>
    <col min="4" max="4" width="8.296875" style="2" customWidth="1"/>
    <col min="5" max="5" width="5.19921875" style="2" bestFit="1" customWidth="1"/>
    <col min="6" max="6" width="16.09765625" style="2" customWidth="1"/>
    <col min="7" max="7" width="25.69921875" style="41" customWidth="1"/>
    <col min="8" max="8" width="17.296875" style="2" hidden="1" customWidth="1"/>
    <col min="9" max="9" width="13.19921875" style="2" hidden="1" customWidth="1"/>
    <col min="10" max="10" width="13.19921875" style="45" customWidth="1"/>
    <col min="11" max="11" width="17.19921875" style="2" customWidth="1"/>
    <col min="12" max="13" width="13.19921875" style="2" customWidth="1"/>
    <col min="14" max="14" width="14.8984375" style="2" hidden="1" customWidth="1"/>
    <col min="15" max="15" width="14.8984375" style="45" hidden="1" customWidth="1"/>
    <col min="16" max="16" width="13.19921875" style="2" customWidth="1"/>
    <col min="17" max="17" width="14.8984375" style="2" bestFit="1" customWidth="1"/>
    <col min="18" max="18" width="13.19921875" style="2" customWidth="1"/>
    <col min="19" max="19" width="11.3984375" style="2" customWidth="1"/>
    <col min="20" max="20" width="20.69921875" style="2" customWidth="1"/>
    <col min="21" max="21" width="8.796875" style="2" customWidth="1"/>
    <col min="22" max="23" width="8.796875" style="45" customWidth="1"/>
    <col min="24" max="24" width="25" style="2" hidden="1" customWidth="1"/>
    <col min="25" max="28" width="8.796875" style="2" hidden="1" customWidth="1"/>
    <col min="29" max="29" width="26.5" style="2" hidden="1" customWidth="1"/>
    <col min="30" max="30" width="10.8984375" style="2" hidden="1" customWidth="1"/>
    <col min="31" max="31" width="17.69921875" style="2" hidden="1" customWidth="1"/>
    <col min="32" max="32" width="14.3984375" style="2" hidden="1" customWidth="1"/>
    <col min="33" max="33" width="10.796875" style="2" hidden="1" customWidth="1"/>
    <col min="34" max="34" width="12.8984375" style="2" hidden="1" customWidth="1"/>
    <col min="35" max="35" width="9.8984375" style="2" hidden="1" customWidth="1"/>
    <col min="36" max="36" width="15.19921875" style="2" hidden="1" customWidth="1"/>
    <col min="37" max="39" width="8.796875" style="2" hidden="1" customWidth="1"/>
    <col min="40" max="40" width="11.8984375" style="2" hidden="1" customWidth="1"/>
    <col min="41" max="41" width="15" style="2" hidden="1" customWidth="1"/>
    <col min="42" max="42" width="9.8984375" style="2" hidden="1" customWidth="1"/>
    <col min="43" max="44" width="8.796875" style="2" customWidth="1"/>
    <col min="45" max="16384" width="8.796875" style="2"/>
  </cols>
  <sheetData>
    <row r="1" spans="2:42" ht="19.8" x14ac:dyDescent="0.45">
      <c r="C1" s="4" t="s">
        <v>113</v>
      </c>
    </row>
    <row r="2" spans="2:42" s="41" customFormat="1" ht="19.8" x14ac:dyDescent="0.45">
      <c r="C2" s="4"/>
      <c r="J2" s="45"/>
      <c r="O2" s="45"/>
      <c r="V2" s="45"/>
      <c r="W2" s="45"/>
    </row>
    <row r="3" spans="2:42" s="41" customFormat="1" ht="19.8" customHeight="1" x14ac:dyDescent="0.45">
      <c r="B3" s="41" t="s">
        <v>95</v>
      </c>
      <c r="C3" s="54"/>
      <c r="D3" s="48"/>
      <c r="E3" s="80" t="s">
        <v>13</v>
      </c>
      <c r="F3" s="80"/>
      <c r="G3" s="58"/>
      <c r="H3" s="47" t="s">
        <v>14</v>
      </c>
      <c r="I3" s="7">
        <f>IF(G3&lt;=651000,0,IF(G3&lt;=1900000,G3-650000,IF(G3&lt;=3600000,ROUNDDOWN(G3/4,-3)*2.8-80000,IF(G3&lt;=6600000,ROUNDDOWN(G3/4,-3)*3.2-440000,IF(G3&lt;=8500000,G3*0.9-1100000,G3-1950000)))))</f>
        <v>0</v>
      </c>
      <c r="J3" s="18"/>
      <c r="K3" s="43" t="s">
        <v>75</v>
      </c>
      <c r="L3" s="63" t="s">
        <v>116</v>
      </c>
      <c r="M3" s="64"/>
      <c r="N3" s="64"/>
      <c r="O3" s="64"/>
      <c r="P3" s="64"/>
      <c r="Q3" s="64"/>
      <c r="R3" s="64"/>
      <c r="S3" s="64"/>
      <c r="V3" s="45"/>
      <c r="W3" s="45"/>
    </row>
    <row r="4" spans="2:42" s="41" customFormat="1" ht="19.8" customHeight="1" x14ac:dyDescent="0.45">
      <c r="C4" s="54"/>
      <c r="D4" s="48"/>
      <c r="E4" s="80" t="s">
        <v>49</v>
      </c>
      <c r="F4" s="80"/>
      <c r="G4" s="58"/>
      <c r="H4" s="96" t="s">
        <v>15</v>
      </c>
      <c r="I4" s="7">
        <f>MAX(0,IF(I3+G6&lt;=10000000,IF(G4&lt;1300000,G4-600000,IF(G4&lt;4100000,G4*0.75-275000,IF(G4&lt;7700000,G4*0.85-685000,IF(G4&lt;10000000,G4*0.95-1455000,G4-1955000)))),IF(I3+G6&lt;=20000000,IF(G4&lt;1300000,G4-500000,IF(G4&lt;4100000,G4*0.75-175000,IF(G4&lt;7700000,G4*0.85-585000,IF(G4&lt;10000000,G4*0.95-1355000,G4-1855000)))),IF(G4&lt;1300000,G4-400000,IF(G4&lt;4100000,G4*0.75-75000,IF(G4&lt;7700000,G4*0.85-485000,IF(G4&lt;10000000,G4*0.95-1255000,G4-1755000)))))))</f>
        <v>0</v>
      </c>
      <c r="J4" s="18"/>
      <c r="K4" s="60" t="s">
        <v>22</v>
      </c>
      <c r="L4" s="63"/>
      <c r="M4" s="64"/>
      <c r="N4" s="64"/>
      <c r="O4" s="64"/>
      <c r="P4" s="64"/>
      <c r="Q4" s="64"/>
      <c r="R4" s="64"/>
      <c r="S4" s="64"/>
      <c r="V4" s="45"/>
      <c r="W4" s="45"/>
    </row>
    <row r="5" spans="2:42" s="41" customFormat="1" ht="19.95" customHeight="1" x14ac:dyDescent="0.45">
      <c r="C5" s="54"/>
      <c r="E5" s="80" t="s">
        <v>48</v>
      </c>
      <c r="F5" s="80"/>
      <c r="G5" s="58"/>
      <c r="H5" s="96"/>
      <c r="I5" s="7">
        <f>MAX(0,IF(I3+G6&lt;=10000000,IF(G5&lt;3300000,G5-1100000,IF(G5&lt;4100000,G5*0.75-275000,IF(G5&lt;7700000,G5*0.85-685000,IF(G5&lt;10000000,G5*0.95-1455000,G5-1955000)))),IF(I3+G6&lt;=20000000,IF(G5&lt;3300000,G5-1000000,IF(G5&lt;4100000,G5*0.75-175000,IF(G5&lt;7700000,G5*0.85-585000,IF(G5&lt;10000000,G5*0.95-1355000,G5-1855000)))),IF(G5&lt;3300000,G5-900000,IF(G5&lt;4100000,G5*0.75-75000,IF(G5&lt;7700000,G5*0.85-485000,IF(G5&lt;10000000,G5*0.95-1255000,G5-1755000)))))))</f>
        <v>0</v>
      </c>
      <c r="J5" s="18"/>
      <c r="L5" s="57"/>
      <c r="M5" s="57"/>
      <c r="N5" s="57"/>
      <c r="O5" s="57"/>
      <c r="P5" s="57"/>
      <c r="Q5" s="57"/>
      <c r="R5" s="57"/>
      <c r="S5" s="57"/>
      <c r="V5" s="45"/>
      <c r="W5" s="45"/>
    </row>
    <row r="6" spans="2:42" ht="19.95" customHeight="1" x14ac:dyDescent="0.45">
      <c r="C6" s="54"/>
      <c r="E6" s="97" t="s">
        <v>16</v>
      </c>
      <c r="F6" s="97"/>
      <c r="G6" s="58"/>
      <c r="J6" s="3" t="s">
        <v>60</v>
      </c>
      <c r="K6" s="65" t="s">
        <v>108</v>
      </c>
      <c r="L6" s="65"/>
      <c r="M6" s="65"/>
      <c r="N6" s="65"/>
      <c r="O6" s="65"/>
      <c r="P6" s="65"/>
      <c r="Q6" s="65"/>
      <c r="R6" s="65"/>
      <c r="S6" s="65"/>
      <c r="X6" s="5" t="s">
        <v>47</v>
      </c>
      <c r="Y6" s="5"/>
      <c r="Z6" s="5"/>
      <c r="AA6" s="5"/>
      <c r="AC6" s="2" t="s">
        <v>8</v>
      </c>
    </row>
    <row r="7" spans="2:42" s="45" customFormat="1" ht="19.95" customHeight="1" x14ac:dyDescent="0.45">
      <c r="C7" s="51"/>
      <c r="E7" s="52"/>
      <c r="F7" s="52"/>
      <c r="G7" s="53"/>
      <c r="K7" s="49"/>
      <c r="L7" s="50"/>
      <c r="M7" s="50"/>
      <c r="N7" s="50"/>
      <c r="O7" s="44"/>
      <c r="X7" s="5"/>
      <c r="Y7" s="5"/>
      <c r="Z7" s="5"/>
      <c r="AA7" s="5"/>
    </row>
    <row r="8" spans="2:42" ht="19.95" customHeight="1" x14ac:dyDescent="0.45">
      <c r="G8" s="18"/>
      <c r="X8" s="10" t="s">
        <v>29</v>
      </c>
      <c r="Y8" s="10">
        <f>IF(G12&lt;12001,G12,IF(G12&lt;32001,G12/2+6000,IF(G12&lt;56001,G12/4+14000,28000)))</f>
        <v>0</v>
      </c>
      <c r="Z8" s="10">
        <f>ROUNDUP(Y8,0)</f>
        <v>0</v>
      </c>
      <c r="AA8" s="10"/>
      <c r="AC8" s="84" t="s">
        <v>6</v>
      </c>
      <c r="AD8" s="84"/>
      <c r="AE8" s="84"/>
      <c r="AF8" s="8"/>
      <c r="AH8" s="2" t="s">
        <v>62</v>
      </c>
      <c r="AM8" s="2" t="s">
        <v>82</v>
      </c>
    </row>
    <row r="9" spans="2:42" ht="19.95" customHeight="1" x14ac:dyDescent="0.45">
      <c r="C9" s="54"/>
      <c r="D9" s="48"/>
      <c r="E9" s="80" t="s">
        <v>26</v>
      </c>
      <c r="F9" s="80"/>
      <c r="G9" s="58"/>
      <c r="K9" s="94" t="s">
        <v>100</v>
      </c>
      <c r="L9" s="14" t="s">
        <v>24</v>
      </c>
      <c r="M9" s="58"/>
      <c r="O9" s="7">
        <f>MAX(0,MIN(M9-Q9-IF(AN31*0.05&gt;100000,100000,AN31*0.05),2000000))</f>
        <v>0</v>
      </c>
      <c r="P9" s="89" t="s">
        <v>25</v>
      </c>
      <c r="Q9" s="58"/>
      <c r="X9" s="10" t="s">
        <v>31</v>
      </c>
      <c r="Y9" s="10">
        <f>IF(G13&lt;15001,G13,IF(G13&lt;40001,G13/2+7500,IF(G13&lt;70001,G13/4+17500,35000)))</f>
        <v>0</v>
      </c>
      <c r="Z9" s="10">
        <f t="shared" ref="Z9:Z14" si="0">ROUNDUP(Y9,0)</f>
        <v>0</v>
      </c>
      <c r="AA9" s="10">
        <f>IF(Z8+Z9&gt;28000,28000,Z8+Z9)</f>
        <v>0</v>
      </c>
      <c r="AC9" s="86" t="s">
        <v>1</v>
      </c>
      <c r="AD9" s="86"/>
      <c r="AE9" s="6" t="s">
        <v>0</v>
      </c>
      <c r="AH9" s="10" t="s">
        <v>63</v>
      </c>
      <c r="AI9" s="7">
        <f>IF(M23="一般",10000,IF(M23="特別",100000,0))+IF(M24="一般",10000,IF(M24="特別",100000,IF(M24="同居特別",220000,0)))+IF(M25="一般",10000,IF(M25="特別",100000,IF(M25="同居特別",220000,0)))+IF(M26="一般",10000,IF(M26="特別",100000,IF(M26="同居特別",220000,0)))+IF(M27="一般",10000,IF(M27="特別",100000,IF(M27="同居特別",220000,0)))</f>
        <v>0</v>
      </c>
      <c r="AM9" s="34">
        <v>1</v>
      </c>
      <c r="AN9" s="7">
        <v>450000</v>
      </c>
      <c r="AO9" s="34" t="s">
        <v>83</v>
      </c>
      <c r="AP9" s="34">
        <f>SUM(M12:M16)+1</f>
        <v>1</v>
      </c>
    </row>
    <row r="10" spans="2:42" ht="19.95" customHeight="1" x14ac:dyDescent="0.45">
      <c r="C10" s="54"/>
      <c r="D10" s="48"/>
      <c r="E10" s="80" t="s">
        <v>27</v>
      </c>
      <c r="F10" s="80"/>
      <c r="G10" s="58"/>
      <c r="K10" s="80"/>
      <c r="L10" s="14" t="s">
        <v>94</v>
      </c>
      <c r="M10" s="58"/>
      <c r="O10" s="15">
        <f>MAX(0,MIN(M10-Q10-12000,88000))</f>
        <v>0</v>
      </c>
      <c r="P10" s="83"/>
      <c r="Q10" s="58"/>
      <c r="X10" s="10" t="s">
        <v>33</v>
      </c>
      <c r="Y10" s="10">
        <f>IF(G14&lt;12001,G14,IF(G14&lt;32001,G14/2+6000,IF(G14&lt;56001,G14/4+14000,28000)))</f>
        <v>0</v>
      </c>
      <c r="Z10" s="10">
        <f t="shared" si="0"/>
        <v>0</v>
      </c>
      <c r="AA10" s="10"/>
      <c r="AC10" s="86" t="s">
        <v>2</v>
      </c>
      <c r="AD10" s="86"/>
      <c r="AE10" s="11">
        <v>0.84894999999999998</v>
      </c>
      <c r="AH10" s="10" t="s">
        <v>65</v>
      </c>
      <c r="AI10" s="7">
        <f>IF(G21="該当",50000,IF(G21="該当（父）",10000,0))</f>
        <v>0</v>
      </c>
      <c r="AM10" s="34">
        <v>2</v>
      </c>
      <c r="AN10" s="7">
        <v>1120000</v>
      </c>
      <c r="AO10" s="35" t="s">
        <v>84</v>
      </c>
      <c r="AP10" s="7">
        <f>IFERROR(VLOOKUP(AP9,AM9:AN17,2,FALSE),0)</f>
        <v>450000</v>
      </c>
    </row>
    <row r="11" spans="2:42" ht="19.95" customHeight="1" x14ac:dyDescent="0.45">
      <c r="C11" s="54"/>
      <c r="O11" s="18"/>
      <c r="X11" s="10" t="s">
        <v>35</v>
      </c>
      <c r="Y11" s="10">
        <f>IF(G15&lt;15001,G15,IF(G15&lt;40001,G15/2+7500,IF(G15&lt;70001,G15/4+17500,35000)))</f>
        <v>0</v>
      </c>
      <c r="Z11" s="10">
        <f t="shared" si="0"/>
        <v>0</v>
      </c>
      <c r="AA11" s="10">
        <f>IF(Z10+Z11&gt;28000,28000,Z10+Z11)</f>
        <v>0</v>
      </c>
      <c r="AC11" s="80" t="s">
        <v>3</v>
      </c>
      <c r="AD11" s="80"/>
      <c r="AE11" s="11">
        <v>0.79790000000000005</v>
      </c>
      <c r="AH11" s="10" t="s">
        <v>64</v>
      </c>
      <c r="AI11" s="7">
        <f>IF(G22="該当",10000,0)</f>
        <v>0</v>
      </c>
      <c r="AM11" s="34">
        <v>3</v>
      </c>
      <c r="AN11" s="7">
        <v>1470000</v>
      </c>
      <c r="AO11" s="35" t="s">
        <v>86</v>
      </c>
      <c r="AP11" s="15">
        <f>AH32+AI32-AH33-AI33</f>
        <v>0</v>
      </c>
    </row>
    <row r="12" spans="2:42" s="41" customFormat="1" ht="19.95" customHeight="1" x14ac:dyDescent="0.45">
      <c r="C12" s="54"/>
      <c r="E12" s="93" t="s">
        <v>98</v>
      </c>
      <c r="F12" s="43" t="s">
        <v>28</v>
      </c>
      <c r="G12" s="59"/>
      <c r="H12" s="2"/>
      <c r="J12" s="45"/>
      <c r="K12" s="93" t="s">
        <v>18</v>
      </c>
      <c r="L12" s="6" t="s">
        <v>101</v>
      </c>
      <c r="M12" s="62"/>
      <c r="N12" s="7">
        <v>0</v>
      </c>
      <c r="O12" s="18"/>
      <c r="V12" s="45"/>
      <c r="W12" s="45"/>
      <c r="X12" s="10"/>
      <c r="Y12" s="10"/>
      <c r="Z12" s="10"/>
      <c r="AA12" s="10"/>
      <c r="AC12" s="42"/>
      <c r="AD12" s="42"/>
      <c r="AE12" s="11"/>
      <c r="AH12" s="10"/>
      <c r="AI12" s="7"/>
      <c r="AM12" s="42"/>
      <c r="AN12" s="7"/>
      <c r="AO12" s="42"/>
      <c r="AP12" s="15"/>
    </row>
    <row r="13" spans="2:42" s="41" customFormat="1" ht="19.95" customHeight="1" x14ac:dyDescent="0.45">
      <c r="C13" s="54"/>
      <c r="E13" s="93"/>
      <c r="F13" s="43" t="s">
        <v>30</v>
      </c>
      <c r="G13" s="59"/>
      <c r="H13" s="2"/>
      <c r="J13" s="45"/>
      <c r="K13" s="93"/>
      <c r="L13" s="6" t="s">
        <v>102</v>
      </c>
      <c r="M13" s="62"/>
      <c r="N13" s="7">
        <f>IF(M13="　",0,M13*330000)</f>
        <v>0</v>
      </c>
      <c r="O13" s="18"/>
      <c r="V13" s="45"/>
      <c r="W13" s="45"/>
      <c r="X13" s="10"/>
      <c r="Y13" s="10"/>
      <c r="Z13" s="10"/>
      <c r="AA13" s="10"/>
      <c r="AC13" s="42"/>
      <c r="AD13" s="42"/>
      <c r="AE13" s="11"/>
      <c r="AH13" s="10"/>
      <c r="AI13" s="7"/>
      <c r="AM13" s="42"/>
      <c r="AN13" s="7"/>
      <c r="AO13" s="42"/>
      <c r="AP13" s="15"/>
    </row>
    <row r="14" spans="2:42" ht="19.95" customHeight="1" thickBot="1" x14ac:dyDescent="0.5">
      <c r="C14" s="54"/>
      <c r="E14" s="93"/>
      <c r="F14" s="43" t="s">
        <v>32</v>
      </c>
      <c r="G14" s="59"/>
      <c r="K14" s="93"/>
      <c r="L14" s="6" t="s">
        <v>103</v>
      </c>
      <c r="M14" s="62" t="s">
        <v>22</v>
      </c>
      <c r="N14" s="7">
        <f>IF(M14="　",0,M14*450000)</f>
        <v>0</v>
      </c>
      <c r="O14" s="18"/>
      <c r="X14" s="10" t="s">
        <v>37</v>
      </c>
      <c r="Y14" s="10">
        <f>IF(G16&lt;12001,G16,IF(G16&lt;32001,G16/2+6000,IF(G16&lt;56001,G16/4+14000,28000)))</f>
        <v>0</v>
      </c>
      <c r="Z14" s="10">
        <f t="shared" si="0"/>
        <v>0</v>
      </c>
      <c r="AA14" s="10"/>
      <c r="AC14" s="80" t="s">
        <v>4</v>
      </c>
      <c r="AD14" s="80"/>
      <c r="AE14" s="11">
        <v>0.69579999999999997</v>
      </c>
      <c r="AH14" s="10" t="s">
        <v>66</v>
      </c>
      <c r="AI14" s="7">
        <f>IF(G23="該当",10000,0)</f>
        <v>0</v>
      </c>
      <c r="AM14" s="34">
        <v>4</v>
      </c>
      <c r="AN14" s="7">
        <v>1820000</v>
      </c>
      <c r="AO14" s="35" t="s">
        <v>85</v>
      </c>
      <c r="AP14" s="35" t="str">
        <f>IF(AN31-AP11&lt;=0,"非対象",IF((AN31-AP11)&lt;AP10,"対象","非対象"))</f>
        <v>非対象</v>
      </c>
    </row>
    <row r="15" spans="2:42" ht="19.95" customHeight="1" x14ac:dyDescent="0.45">
      <c r="C15" s="54"/>
      <c r="E15" s="93"/>
      <c r="F15" s="43" t="s">
        <v>34</v>
      </c>
      <c r="G15" s="59"/>
      <c r="H15" s="6" t="s">
        <v>46</v>
      </c>
      <c r="K15" s="93"/>
      <c r="L15" s="6" t="s">
        <v>104</v>
      </c>
      <c r="M15" s="62" t="s">
        <v>22</v>
      </c>
      <c r="N15" s="7">
        <f>IF(M15="　",0,M15*380000)</f>
        <v>0</v>
      </c>
      <c r="O15" s="18"/>
      <c r="Q15" s="66" t="s">
        <v>112</v>
      </c>
      <c r="R15" s="69" t="s">
        <v>60</v>
      </c>
      <c r="S15" s="72">
        <f>ROUNDUP(AK35*0.2/AK37+2000,0)</f>
        <v>2000</v>
      </c>
      <c r="T15" s="73"/>
      <c r="X15" s="10" t="s">
        <v>38</v>
      </c>
      <c r="Y15" s="10" t="str">
        <f>IF(Y8&gt;0,IF(Y9&gt;0,"W",""),"")</f>
        <v/>
      </c>
      <c r="Z15" s="10" t="b">
        <f>IF(Y15="W",IF(Z9&gt;AA9,Z9,AA9))</f>
        <v>0</v>
      </c>
      <c r="AA15" s="10"/>
      <c r="AC15" s="80" t="s">
        <v>5</v>
      </c>
      <c r="AD15" s="80"/>
      <c r="AE15" s="11">
        <v>0.66517000000000004</v>
      </c>
      <c r="AH15" s="10" t="s">
        <v>67</v>
      </c>
      <c r="AI15" s="7">
        <f>IF(M13="　",0,M13*50000)+IF(M14="　",0,M14*180000)+IF(M15="　",0,M15*100000)+IF(M16="　",0,M16*130000)</f>
        <v>0</v>
      </c>
      <c r="AM15" s="34">
        <v>5</v>
      </c>
      <c r="AN15" s="7">
        <v>2170000</v>
      </c>
      <c r="AO15" s="35" t="s">
        <v>87</v>
      </c>
      <c r="AP15" s="7">
        <f>IF(AP14="対象",AP10-(AN31-AP11),0)</f>
        <v>0</v>
      </c>
    </row>
    <row r="16" spans="2:42" ht="19.95" customHeight="1" x14ac:dyDescent="0.45">
      <c r="C16" s="54"/>
      <c r="E16" s="93"/>
      <c r="F16" s="43" t="s">
        <v>36</v>
      </c>
      <c r="G16" s="59"/>
      <c r="H16" s="16">
        <f>AA23</f>
        <v>0</v>
      </c>
      <c r="K16" s="93"/>
      <c r="L16" s="6" t="s">
        <v>105</v>
      </c>
      <c r="M16" s="62"/>
      <c r="N16" s="7">
        <f>IF(M16="　",0,M16*450000)</f>
        <v>0</v>
      </c>
      <c r="Q16" s="67"/>
      <c r="R16" s="70"/>
      <c r="S16" s="74"/>
      <c r="T16" s="75"/>
      <c r="X16" s="10" t="s">
        <v>39</v>
      </c>
      <c r="Y16" s="10" t="str">
        <f>IF(Y10&gt;0,IF(Y11&gt;0,"W",""),"")</f>
        <v/>
      </c>
      <c r="Z16" s="10" t="b">
        <f>IF(Y16="W",IF(Z11&gt;AA11,Z11,AA11))</f>
        <v>0</v>
      </c>
      <c r="AA16" s="10"/>
      <c r="AC16" s="87" t="s">
        <v>10</v>
      </c>
      <c r="AD16" s="87"/>
      <c r="AE16" s="11">
        <v>0.56306999999999996</v>
      </c>
      <c r="AH16" s="10" t="s">
        <v>69</v>
      </c>
      <c r="AI16" s="7">
        <f>IF(AN31&lt;=9000000,IF(G25="普通",50000,IF(G25="老人",100000,0)),IF(AN31&lt;=9500000,IF(G25="普通",40000,IF(G25="老人",60000,0)),IF(AN31&lt;=10000000,IF(G25="普通",20000,IF(G25="老人",30000,0)),0)))</f>
        <v>0</v>
      </c>
      <c r="AM16" s="34">
        <v>6</v>
      </c>
      <c r="AN16" s="7">
        <v>2520000</v>
      </c>
    </row>
    <row r="17" spans="3:40" ht="19.95" customHeight="1" x14ac:dyDescent="0.45">
      <c r="C17" s="54"/>
      <c r="G17" s="2"/>
      <c r="Q17" s="67"/>
      <c r="R17" s="70"/>
      <c r="S17" s="74"/>
      <c r="T17" s="75"/>
      <c r="X17" s="10"/>
      <c r="Y17" s="10"/>
      <c r="Z17" s="10"/>
      <c r="AA17" s="10"/>
      <c r="AC17" s="80" t="s">
        <v>11</v>
      </c>
      <c r="AD17" s="80"/>
      <c r="AE17" s="11">
        <v>0.49159999999999998</v>
      </c>
      <c r="AH17" s="10" t="s">
        <v>70</v>
      </c>
      <c r="AI17" s="7">
        <f>IF(AN31&lt;=9000000,IF(AK17&lt;=480000,0,IF(AK17&lt;500000,50000,IF(AK17&lt;550000,30000,0))),IF(AN31&lt;=9500000,IF(AK17&lt;=480000,0,IF(AK17&lt;500000,40000,IF(AK17&lt;550000,20000,IF(AN31&lt;=10000000,IF(AK17&lt;=480000,0,IF(AK17&lt;500000,20000,IF(AK17&lt;550000,10000,0)))))))))</f>
        <v>0</v>
      </c>
      <c r="AJ17" s="10" t="s">
        <v>71</v>
      </c>
      <c r="AK17" s="7">
        <f>IF(G26&lt;=651000,0,IF(G26&lt;=1900000,G26-650000,IF(G26&lt;=3600000,ROUNDDOWN(G26/4,-3)*2.8-80000,IF(G26&lt;=6600000,ROUNDDOWN(G26/4,-3)*3.2-440000,IF(G26&lt;=8500000,G26*0.9-1100000,G26-1950000)))))</f>
        <v>0</v>
      </c>
      <c r="AM17" s="34">
        <v>7</v>
      </c>
      <c r="AN17" s="7">
        <v>2870000</v>
      </c>
    </row>
    <row r="18" spans="3:40" ht="19.95" customHeight="1" thickBot="1" x14ac:dyDescent="0.5">
      <c r="C18" s="54"/>
      <c r="E18" s="94" t="s">
        <v>99</v>
      </c>
      <c r="F18" s="43" t="s">
        <v>88</v>
      </c>
      <c r="G18" s="58"/>
      <c r="H18" s="36" t="s">
        <v>89</v>
      </c>
      <c r="K18" s="95" t="s">
        <v>19</v>
      </c>
      <c r="L18" s="90" t="s">
        <v>106</v>
      </c>
      <c r="M18" s="58"/>
      <c r="N18" s="7">
        <f>IF(M18&lt;=1230000,0,IF(M18&lt;=1600000,450000,IF(M18&lt;=1650000,410000,IF(M18&lt;=1700000,310000,IF(M18&lt;=1750000,210000,IF(M18&lt;=1800000,110000,IF(M18&lt;=1850000,60000,IF(M18&lt;=1880000,30000,0))))))))</f>
        <v>0</v>
      </c>
      <c r="Q18" s="68"/>
      <c r="R18" s="71"/>
      <c r="S18" s="76"/>
      <c r="T18" s="77"/>
      <c r="X18" s="10" t="s">
        <v>40</v>
      </c>
      <c r="Y18" s="10">
        <f>Z8+Z9+Z10+Z11+Z14</f>
        <v>0</v>
      </c>
      <c r="Z18" s="10"/>
      <c r="AA18" s="10" t="str">
        <f>IF(Y15="W",IF(Y16="W","WW","W1"),IF(Y16="W","W2",""))</f>
        <v/>
      </c>
      <c r="AC18" s="85" t="s">
        <v>12</v>
      </c>
      <c r="AD18" s="80"/>
      <c r="AE18" s="12">
        <v>0.44055</v>
      </c>
      <c r="AH18" s="10" t="s">
        <v>68</v>
      </c>
      <c r="AI18" s="7">
        <v>50000</v>
      </c>
    </row>
    <row r="19" spans="3:40" ht="19.95" customHeight="1" x14ac:dyDescent="0.45">
      <c r="C19" s="54"/>
      <c r="E19" s="94"/>
      <c r="F19" s="43" t="s">
        <v>93</v>
      </c>
      <c r="G19" s="58"/>
      <c r="H19" s="7">
        <f>AL23</f>
        <v>0</v>
      </c>
      <c r="K19" s="95"/>
      <c r="L19" s="91"/>
      <c r="M19" s="58"/>
      <c r="N19" s="7">
        <f>IF(M19&lt;=1230000,0,IF(M19&lt;=1600000,450000,IF(M19&lt;=1650000,410000,IF(M19&lt;=1700000,310000,IF(M19&lt;=1750000,210000,IF(M19&lt;=1800000,110000,IF(M19&lt;=1850000,60000,IF(M19&lt;=1880000,30000,0))))))))</f>
        <v>0</v>
      </c>
      <c r="Q19" s="78" t="s">
        <v>74</v>
      </c>
      <c r="R19" s="78"/>
      <c r="S19" s="78"/>
      <c r="T19" s="78"/>
      <c r="U19" s="78"/>
      <c r="V19" s="78"/>
      <c r="X19" s="10" t="s">
        <v>41</v>
      </c>
      <c r="Y19" s="10">
        <f>Z10+Z11+Z14+Z15</f>
        <v>0</v>
      </c>
      <c r="Z19" s="10"/>
      <c r="AA19" s="10"/>
      <c r="AF19" s="19"/>
    </row>
    <row r="20" spans="3:40" ht="19.95" customHeight="1" x14ac:dyDescent="0.45">
      <c r="C20" s="54"/>
      <c r="F20" s="45"/>
      <c r="G20" s="2"/>
      <c r="K20" s="95"/>
      <c r="L20" s="91"/>
      <c r="M20" s="58"/>
      <c r="N20" s="7">
        <f>IF(M20&lt;=1230000,0,IF(M20&lt;=1600000,450000,IF(M20&lt;=1650000,410000,IF(M20&lt;=1700000,310000,IF(M20&lt;=1750000,210000,IF(M20&lt;=1800000,110000,IF(M20&lt;=1850000,60000,IF(M20&lt;=1880000,30000,0))))))))</f>
        <v>0</v>
      </c>
      <c r="Q20" s="79" t="s">
        <v>114</v>
      </c>
      <c r="R20" s="79"/>
      <c r="S20" s="79"/>
      <c r="T20" s="79"/>
      <c r="U20" s="79"/>
      <c r="V20" s="79"/>
      <c r="W20" s="56"/>
      <c r="X20" s="10" t="s">
        <v>42</v>
      </c>
      <c r="Y20" s="10">
        <f>Z8+Z9+Z14+Z16</f>
        <v>0</v>
      </c>
      <c r="Z20" s="10"/>
      <c r="AA20" s="10" t="s">
        <v>43</v>
      </c>
      <c r="AB20" s="45"/>
      <c r="AC20" s="45" t="s">
        <v>76</v>
      </c>
      <c r="AD20" s="45"/>
      <c r="AE20" s="45"/>
      <c r="AF20" s="17"/>
      <c r="AG20" s="45"/>
      <c r="AH20" s="45" t="s">
        <v>79</v>
      </c>
      <c r="AI20" s="45"/>
      <c r="AJ20" s="45"/>
      <c r="AK20" s="45" t="s">
        <v>90</v>
      </c>
      <c r="AL20" s="45"/>
      <c r="AM20" s="45"/>
      <c r="AN20" s="45"/>
    </row>
    <row r="21" spans="3:40" ht="19.95" customHeight="1" x14ac:dyDescent="0.45">
      <c r="C21" s="54"/>
      <c r="E21" s="80" t="s">
        <v>109</v>
      </c>
      <c r="F21" s="80"/>
      <c r="G21" s="60" t="s">
        <v>22</v>
      </c>
      <c r="H21" s="7">
        <f>IF(G21="該当",300000,IF(G21="該当（父）",300000,0))</f>
        <v>0</v>
      </c>
      <c r="K21" s="95"/>
      <c r="L21" s="92"/>
      <c r="M21" s="58"/>
      <c r="N21" s="7">
        <f>IF(M21&lt;=1230000,0,IF(M21&lt;=1600000,450000,IF(M21&lt;=1650000,410000,IF(M21&lt;=1700000,310000,IF(M21&lt;=1750000,210000,IF(M21&lt;=1800000,110000,IF(M21&lt;=1850000,60000,IF(M21&lt;=1880000,30000,0))))))))</f>
        <v>0</v>
      </c>
      <c r="Q21" s="79"/>
      <c r="R21" s="79"/>
      <c r="S21" s="79"/>
      <c r="T21" s="79"/>
      <c r="U21" s="79"/>
      <c r="V21" s="79"/>
      <c r="W21" s="56"/>
      <c r="X21" s="10" t="s">
        <v>44</v>
      </c>
      <c r="Y21" s="10">
        <f>Z14+Z15+Z16</f>
        <v>0</v>
      </c>
      <c r="Z21" s="10"/>
      <c r="AA21" s="10">
        <f>IF(AA18="",Y18,IF(AA18="W1",Y19,IF(AA18="W2",Y20,IF(AA18="WW",Y21))))</f>
        <v>0</v>
      </c>
      <c r="AB21" s="45"/>
      <c r="AC21" s="10" t="s">
        <v>80</v>
      </c>
      <c r="AD21" s="7">
        <f>IF(K4="該当",MAX(0,MIN(G3,10000000)),0)</f>
        <v>0</v>
      </c>
      <c r="AE21" s="15">
        <f>MAX(0,(AD21-8500000)*0.1)</f>
        <v>0</v>
      </c>
      <c r="AF21" s="7">
        <f>IF(K4="該当",I3-AE21,I3)</f>
        <v>0</v>
      </c>
      <c r="AG21" s="45"/>
      <c r="AH21" s="7">
        <v>450000</v>
      </c>
      <c r="AI21" s="7"/>
      <c r="AJ21" s="45"/>
      <c r="AK21" s="55" t="s">
        <v>91</v>
      </c>
      <c r="AL21" s="38">
        <f>MIN(G18/2,25000)</f>
        <v>0</v>
      </c>
      <c r="AM21" s="45"/>
      <c r="AN21" s="45"/>
    </row>
    <row r="22" spans="3:40" ht="19.95" customHeight="1" x14ac:dyDescent="0.45">
      <c r="C22" s="54"/>
      <c r="E22" s="80" t="s">
        <v>110</v>
      </c>
      <c r="F22" s="80"/>
      <c r="G22" s="60" t="s">
        <v>22</v>
      </c>
      <c r="H22" s="7">
        <f>IF(G22="該当",260000,0)</f>
        <v>0</v>
      </c>
      <c r="Q22" s="79"/>
      <c r="R22" s="79"/>
      <c r="S22" s="79"/>
      <c r="T22" s="79"/>
      <c r="U22" s="79"/>
      <c r="V22" s="79"/>
      <c r="W22" s="56"/>
      <c r="X22" s="45"/>
      <c r="Y22" s="45"/>
      <c r="Z22" s="45"/>
      <c r="AA22" s="45"/>
      <c r="AB22" s="45"/>
      <c r="AC22" s="10" t="s">
        <v>81</v>
      </c>
      <c r="AD22" s="7">
        <f>MAX(0,MIN(I3,100000)+MIN(IF(I4&lt;&gt;0,I4,I5),100000)-100000)</f>
        <v>0</v>
      </c>
      <c r="AE22" s="45"/>
      <c r="AF22" s="32"/>
      <c r="AG22" s="45"/>
      <c r="AH22" s="7">
        <v>1120000</v>
      </c>
      <c r="AI22" s="7"/>
      <c r="AJ22" s="45"/>
      <c r="AK22" s="55" t="s">
        <v>93</v>
      </c>
      <c r="AL22" s="38">
        <f>IF(G19&lt;=5000,G19,IF(G19&lt;=15000,G19/2+2500,10000))</f>
        <v>0</v>
      </c>
      <c r="AM22" s="45"/>
      <c r="AN22" s="45"/>
    </row>
    <row r="23" spans="3:40" ht="19.95" customHeight="1" x14ac:dyDescent="0.45">
      <c r="C23" s="54"/>
      <c r="E23" s="80" t="s">
        <v>111</v>
      </c>
      <c r="F23" s="80"/>
      <c r="G23" s="60" t="s">
        <v>22</v>
      </c>
      <c r="H23" s="7">
        <f>IF(G23="該当",260000,0)</f>
        <v>0</v>
      </c>
      <c r="K23" s="93" t="s">
        <v>20</v>
      </c>
      <c r="L23" s="6" t="s">
        <v>21</v>
      </c>
      <c r="M23" s="60" t="s">
        <v>22</v>
      </c>
      <c r="N23" s="7">
        <f>IF(M23="一般",260000,IF(M23="特別",300000,0))</f>
        <v>0</v>
      </c>
      <c r="Q23" s="79"/>
      <c r="R23" s="79"/>
      <c r="S23" s="79"/>
      <c r="T23" s="79"/>
      <c r="U23" s="79"/>
      <c r="V23" s="79"/>
      <c r="W23" s="56"/>
      <c r="X23" s="45" t="s">
        <v>52</v>
      </c>
      <c r="Y23" s="45"/>
      <c r="Z23" s="45" t="s">
        <v>45</v>
      </c>
      <c r="AA23" s="45">
        <f>IF(AA21&gt;70000,70000,AA21)</f>
        <v>0</v>
      </c>
      <c r="AB23" s="45"/>
      <c r="AC23" s="5"/>
      <c r="AD23" s="5"/>
      <c r="AE23" s="45"/>
      <c r="AF23" s="32"/>
      <c r="AG23" s="45"/>
      <c r="AH23" s="7">
        <v>1470000</v>
      </c>
      <c r="AI23" s="7"/>
      <c r="AJ23" s="45"/>
      <c r="AK23" s="55" t="s">
        <v>92</v>
      </c>
      <c r="AL23" s="39">
        <f>MIN(AL21+AL22,25000)</f>
        <v>0</v>
      </c>
      <c r="AM23" s="45"/>
      <c r="AN23" s="45"/>
    </row>
    <row r="24" spans="3:40" ht="19.95" customHeight="1" x14ac:dyDescent="0.45">
      <c r="C24" s="54"/>
      <c r="F24" s="45"/>
      <c r="G24" s="2"/>
      <c r="K24" s="93"/>
      <c r="L24" s="81" t="s">
        <v>107</v>
      </c>
      <c r="M24" s="60" t="s">
        <v>22</v>
      </c>
      <c r="N24" s="7">
        <f>IF(M24="一般",260000,IF(M24="特別",300000,IF(M24="同居特別",530000,0)))</f>
        <v>0</v>
      </c>
      <c r="Q24" s="79" t="s">
        <v>115</v>
      </c>
      <c r="R24" s="79"/>
      <c r="S24" s="79"/>
      <c r="T24" s="79"/>
      <c r="U24" s="79"/>
      <c r="V24" s="79"/>
      <c r="W24" s="56"/>
      <c r="X24" s="7">
        <f>IF(OR(I3="",AND(I4="",I5="")),0,MIN(I3,IF(I4&lt;&gt;"",I4,I5),100000))</f>
        <v>0</v>
      </c>
      <c r="Y24" s="45"/>
      <c r="Z24" s="45"/>
      <c r="AA24" s="45"/>
      <c r="AB24" s="45"/>
      <c r="AC24" s="45"/>
      <c r="AD24" s="45"/>
      <c r="AE24" s="45"/>
      <c r="AF24" s="20"/>
      <c r="AG24" s="45"/>
      <c r="AH24" s="7">
        <v>1820000</v>
      </c>
      <c r="AI24" s="7"/>
      <c r="AJ24" s="45"/>
      <c r="AK24" s="45"/>
      <c r="AL24" s="45"/>
      <c r="AM24" s="45"/>
      <c r="AN24" s="45"/>
    </row>
    <row r="25" spans="3:40" ht="19.95" customHeight="1" x14ac:dyDescent="0.45">
      <c r="C25" s="54"/>
      <c r="E25" s="80" t="s">
        <v>23</v>
      </c>
      <c r="F25" s="80"/>
      <c r="G25" s="61" t="s">
        <v>22</v>
      </c>
      <c r="H25" s="7">
        <f>IF(G25="普通",IF(AN31&lt;=9000000,330000,IF(AN31&lt;=9500000,220000,IF(AN31&lt;=10000000,110000,0))),IF(G25="老人",IF(AN31&lt;=9000000,380000,IF(AN31&lt;=9500000,260000,IF(AN31&lt;=10000000,130000,0))),0))</f>
        <v>0</v>
      </c>
      <c r="K25" s="93"/>
      <c r="L25" s="82"/>
      <c r="M25" s="60"/>
      <c r="N25" s="7">
        <f>IF(M25="一般",260000,IF(M25="特別",300000,IF(M25="同居特別",530000,0)))</f>
        <v>0</v>
      </c>
      <c r="Q25" s="79"/>
      <c r="R25" s="79"/>
      <c r="S25" s="79"/>
      <c r="T25" s="79"/>
      <c r="U25" s="79"/>
      <c r="V25" s="79"/>
      <c r="W25" s="56"/>
      <c r="X25" s="45"/>
      <c r="Y25" s="45"/>
      <c r="Z25" s="45"/>
      <c r="AA25" s="45"/>
      <c r="AB25" s="45"/>
      <c r="AC25" s="45"/>
      <c r="AD25" s="45"/>
      <c r="AE25" s="45"/>
      <c r="AF25" s="20"/>
      <c r="AG25" s="45"/>
      <c r="AH25" s="7">
        <v>2170000</v>
      </c>
      <c r="AI25" s="7"/>
      <c r="AJ25" s="45"/>
      <c r="AK25" s="45"/>
      <c r="AL25" s="45"/>
      <c r="AM25" s="45"/>
      <c r="AN25" s="45"/>
    </row>
    <row r="26" spans="3:40" ht="19.95" customHeight="1" x14ac:dyDescent="0.45">
      <c r="C26" s="54"/>
      <c r="E26" s="80" t="s">
        <v>96</v>
      </c>
      <c r="F26" s="80"/>
      <c r="G26" s="58"/>
      <c r="H26" s="7">
        <f>IF(AN31&lt;=9000000,IF(G26&lt;=1230000,0,IF(G26&lt;=1650000,330000,IF(G26&lt;=1700000,310000,IF(G26&lt;=1750000,260000,IF(G26&lt;=1800000,210000,IF(G26&lt;=1850000,160000,IF(G26&lt;=1903999,110000,IF(G26&lt;=1971999,60000,IF(G26&lt;=2015999,30000,0))))))))),IF(AN31&lt;=9500000,IF(G26&lt;=1230000,0,IF(G26&lt;=1650000,220000,IF(G26&lt;=1700000,210000,IF(G26&lt;=1750000,180000,IF(G26&lt;=1800000,140000,IF(G26&lt;=1850000,110000,IF(G26&lt;=1903999,80000,IF(G26&lt;=1971999,40000,IF(G26&lt;=2015999,20000,0))))))))),IF(AN31&lt;=10000000,IF(G26&lt;=1230000,0,IF(G26&lt;=1650000,110000,IF(G26&lt;=1700000,110000,IF(G26&lt;=1750000,90000,IF(G26&lt;=1800000,70000,IF(G26&lt;=1850000,60000,IF(G26&lt;=1903999,40000,IF(G26&lt;=1971999,20000,IF(G26&lt;=2015999,10000,0))))))))),0)))</f>
        <v>0</v>
      </c>
      <c r="K26" s="93"/>
      <c r="L26" s="82"/>
      <c r="M26" s="60"/>
      <c r="N26" s="7">
        <f>IF(M26="一般",260000,IF(M26="特別",300000,IF(M26="同居特別",530000,0)))</f>
        <v>0</v>
      </c>
      <c r="Q26" s="45"/>
      <c r="R26" s="45"/>
      <c r="S26" s="45"/>
      <c r="T26" s="45"/>
      <c r="U26" s="45"/>
      <c r="X26" s="13" t="s">
        <v>7</v>
      </c>
      <c r="Y26" s="45"/>
      <c r="Z26" s="45"/>
      <c r="AA26" s="45"/>
      <c r="AB26" s="13"/>
      <c r="AC26" s="13"/>
      <c r="AD26" s="13"/>
      <c r="AE26" s="13"/>
      <c r="AF26" s="20"/>
      <c r="AG26" s="45"/>
      <c r="AH26" s="7">
        <v>2520000</v>
      </c>
      <c r="AI26" s="7"/>
      <c r="AJ26" s="45"/>
      <c r="AK26" s="45"/>
      <c r="AL26" s="45"/>
      <c r="AM26" s="45"/>
      <c r="AN26" s="45"/>
    </row>
    <row r="27" spans="3:40" ht="19.95" customHeight="1" x14ac:dyDescent="0.45">
      <c r="C27" s="54"/>
      <c r="E27" s="45" t="s">
        <v>97</v>
      </c>
      <c r="G27" s="2"/>
      <c r="K27" s="93"/>
      <c r="L27" s="83"/>
      <c r="M27" s="60"/>
      <c r="N27" s="7">
        <f>IF(M27="一般",260000,IF(M27="特別",300000,IF(M27="同居特別",530000,0)))</f>
        <v>0</v>
      </c>
      <c r="X27" s="2" t="s">
        <v>9</v>
      </c>
      <c r="Z27" s="13"/>
      <c r="AA27" s="13"/>
      <c r="AB27" s="3"/>
      <c r="AC27" s="3"/>
      <c r="AD27" s="3"/>
      <c r="AE27" s="3"/>
      <c r="AF27" s="21"/>
      <c r="AH27" s="7">
        <v>2870000</v>
      </c>
      <c r="AI27" s="7"/>
    </row>
    <row r="28" spans="3:40" ht="19.95" customHeight="1" x14ac:dyDescent="0.45">
      <c r="C28" s="54"/>
      <c r="F28" s="45"/>
      <c r="G28" s="2"/>
      <c r="X28" s="88" t="s">
        <v>77</v>
      </c>
      <c r="Y28" s="88"/>
      <c r="Z28" s="88"/>
      <c r="AA28" s="88"/>
      <c r="AB28" s="88"/>
      <c r="AC28" s="88"/>
      <c r="AD28" s="88"/>
    </row>
    <row r="29" spans="3:40" ht="19.95" customHeight="1" x14ac:dyDescent="0.45">
      <c r="C29" s="54"/>
      <c r="E29" s="80" t="s">
        <v>50</v>
      </c>
      <c r="F29" s="80"/>
      <c r="G29" s="58"/>
      <c r="O29" s="2"/>
      <c r="X29" s="88"/>
      <c r="Y29" s="88"/>
      <c r="Z29" s="88"/>
      <c r="AA29" s="88"/>
      <c r="AB29" s="88"/>
      <c r="AC29" s="88"/>
      <c r="AD29" s="88"/>
    </row>
    <row r="30" spans="3:40" ht="19.95" customHeight="1" thickBot="1" x14ac:dyDescent="0.5">
      <c r="C30" s="54"/>
      <c r="E30" s="80" t="s">
        <v>59</v>
      </c>
      <c r="F30" s="80"/>
      <c r="G30" s="7">
        <f>IF(AN31&lt;=24000000,430000,IF(AN31&lt;=24500000,290000,IF(AN31&lt;=25000000,150000,0)))</f>
        <v>430000</v>
      </c>
      <c r="O30" s="2"/>
      <c r="X30" s="88"/>
      <c r="Y30" s="88"/>
      <c r="Z30" s="88"/>
      <c r="AA30" s="88"/>
      <c r="AB30" s="88"/>
      <c r="AC30" s="88"/>
      <c r="AD30" s="88"/>
      <c r="AG30" s="3" t="s">
        <v>57</v>
      </c>
    </row>
    <row r="31" spans="3:40" ht="19.95" customHeight="1" thickBot="1" x14ac:dyDescent="0.5">
      <c r="G31" s="2"/>
      <c r="X31" s="88"/>
      <c r="Y31" s="88"/>
      <c r="Z31" s="88"/>
      <c r="AA31" s="88"/>
      <c r="AB31" s="88"/>
      <c r="AC31" s="88"/>
      <c r="AD31" s="88"/>
      <c r="AG31" s="43"/>
      <c r="AH31" s="6" t="s">
        <v>53</v>
      </c>
      <c r="AI31" s="6" t="s">
        <v>54</v>
      </c>
      <c r="AM31" s="24" t="s">
        <v>17</v>
      </c>
      <c r="AN31" s="22">
        <f>SUM(I4:I5)+AF21+G6</f>
        <v>0</v>
      </c>
    </row>
    <row r="32" spans="3:40" ht="19.95" customHeight="1" thickBot="1" x14ac:dyDescent="0.5">
      <c r="G32" s="2"/>
      <c r="P32" s="9"/>
      <c r="X32" s="88"/>
      <c r="Y32" s="88"/>
      <c r="Z32" s="88"/>
      <c r="AA32" s="88"/>
      <c r="AB32" s="88"/>
      <c r="AC32" s="88"/>
      <c r="AD32" s="88"/>
      <c r="AG32" s="28" t="s">
        <v>56</v>
      </c>
      <c r="AH32" s="7">
        <f>AN33*0.04</f>
        <v>0</v>
      </c>
      <c r="AI32" s="7">
        <f>AN33*0.06</f>
        <v>0</v>
      </c>
      <c r="AM32" s="25" t="s">
        <v>51</v>
      </c>
      <c r="AN32" s="23">
        <f>G9+G10+H16+H21+H22+H23+H25+H26+O9+O10+N12+N13+N14+N15+N16+N18+N19+N20+N21+N23+N24+N25+N26+N27+G29+G30+H19</f>
        <v>430000</v>
      </c>
    </row>
    <row r="33" spans="7:40" ht="19.95" customHeight="1" thickBot="1" x14ac:dyDescent="0.5">
      <c r="G33" s="2"/>
      <c r="P33" s="9"/>
      <c r="X33" s="88"/>
      <c r="Y33" s="88"/>
      <c r="Z33" s="88"/>
      <c r="AA33" s="88"/>
      <c r="AB33" s="88"/>
      <c r="AC33" s="88"/>
      <c r="AD33" s="88"/>
      <c r="AG33" s="28" t="s">
        <v>55</v>
      </c>
      <c r="AH33" s="7">
        <f>IF(AN31&lt;=2000000,MIN(AH37,AN31)*0.02,IF((AH37-(AN31-2000000))*0.02&lt;1000,1000,(AH37-(AN31-2000000)*0.02)))</f>
        <v>0</v>
      </c>
      <c r="AI33" s="7">
        <f>IF(AN31&lt;=2000000,MIN(AH37,AN31)*0.03,IF((AH37-(AN31-2000000))*0.03&lt;1500,1500,(AH37-(AN31-2000000)*0.03)))</f>
        <v>0</v>
      </c>
      <c r="AM33" s="24" t="s">
        <v>73</v>
      </c>
      <c r="AN33" s="26">
        <f>MAX(0,ROUNDDOWN(AN31-AN32,-3))</f>
        <v>0</v>
      </c>
    </row>
    <row r="34" spans="7:40" ht="19.95" customHeight="1" thickBot="1" x14ac:dyDescent="0.5">
      <c r="G34" s="2"/>
      <c r="X34" s="88"/>
      <c r="Y34" s="88"/>
      <c r="Z34" s="88"/>
      <c r="AA34" s="88"/>
      <c r="AB34" s="88"/>
      <c r="AC34" s="88"/>
      <c r="AD34" s="88"/>
      <c r="AG34" s="43" t="s">
        <v>78</v>
      </c>
      <c r="AH34" s="37">
        <f>AP15*0.4</f>
        <v>0</v>
      </c>
      <c r="AI34" s="37">
        <f>AP15*0.6</f>
        <v>0</v>
      </c>
    </row>
    <row r="35" spans="7:40" ht="19.95" customHeight="1" thickBot="1" x14ac:dyDescent="0.5">
      <c r="G35" s="2"/>
      <c r="X35" s="88"/>
      <c r="Y35" s="88"/>
      <c r="Z35" s="88"/>
      <c r="AA35" s="88"/>
      <c r="AB35" s="88"/>
      <c r="AC35" s="88"/>
      <c r="AD35" s="88"/>
      <c r="AG35" s="3" t="s">
        <v>58</v>
      </c>
      <c r="AH35" s="27">
        <f>MAX(0,AH32-AH33-AH34)</f>
        <v>0</v>
      </c>
      <c r="AI35" s="26">
        <f>MAX(0,AI32-AI33-AI34)</f>
        <v>0</v>
      </c>
      <c r="AJ35" s="3" t="s">
        <v>72</v>
      </c>
      <c r="AK35" s="31">
        <f>AH35+AI35</f>
        <v>0</v>
      </c>
    </row>
    <row r="36" spans="7:40" ht="19.95" customHeight="1" thickBot="1" x14ac:dyDescent="0.5">
      <c r="N36" s="46"/>
      <c r="O36" s="46"/>
      <c r="P36" s="46"/>
      <c r="Q36" s="46"/>
      <c r="R36" s="46"/>
      <c r="S36" s="46"/>
      <c r="T36" s="46"/>
      <c r="X36" s="88"/>
      <c r="Y36" s="88"/>
      <c r="Z36" s="88"/>
      <c r="AA36" s="88"/>
      <c r="AB36" s="88"/>
      <c r="AC36" s="88"/>
      <c r="AD36" s="88"/>
    </row>
    <row r="37" spans="7:40" ht="19.95" customHeight="1" thickBot="1" x14ac:dyDescent="0.5">
      <c r="M37" s="46"/>
      <c r="N37" s="46"/>
      <c r="O37" s="46"/>
      <c r="P37" s="46"/>
      <c r="Q37" s="46"/>
      <c r="R37" s="46"/>
      <c r="S37" s="46"/>
      <c r="T37" s="46"/>
      <c r="X37" s="1"/>
      <c r="Y37" s="1"/>
      <c r="Z37" s="1"/>
      <c r="AA37" s="1"/>
      <c r="AB37" s="1"/>
      <c r="AC37" s="1"/>
      <c r="AD37" s="1"/>
      <c r="AG37" s="29" t="s">
        <v>61</v>
      </c>
      <c r="AH37" s="27">
        <f>SUM(AI9:AI18)</f>
        <v>50000</v>
      </c>
      <c r="AI37" s="3" t="s">
        <v>72</v>
      </c>
      <c r="AJ37" s="27">
        <f>MAX(AN33-AH37,0)</f>
        <v>0</v>
      </c>
      <c r="AK37" s="30">
        <f>IF(AJ37&lt;=1950000,$AE$10,IF(AJ37&lt;=3300000,$AE$11,IF(AJ37&lt;=6950000,$AE$14,IF(AJ37&lt;=9000000,$AE$15,IF(AJ37&lt;=18000000,$AE$16,IF(AJ37&lt;=40000000,$AE$17,$AE$18))))))</f>
        <v>0.84894999999999998</v>
      </c>
    </row>
    <row r="38" spans="7:40" x14ac:dyDescent="0.45">
      <c r="X38" s="1"/>
      <c r="Y38" s="1"/>
      <c r="Z38" s="1"/>
      <c r="AA38" s="1"/>
      <c r="AB38" s="1"/>
      <c r="AC38" s="1"/>
      <c r="AD38" s="1"/>
    </row>
    <row r="39" spans="7:40" x14ac:dyDescent="0.45">
      <c r="X39" s="1"/>
      <c r="Y39" s="1"/>
      <c r="Z39" s="1"/>
      <c r="AA39" s="1"/>
      <c r="AB39" s="1"/>
      <c r="AC39" s="1"/>
      <c r="AD39" s="1"/>
    </row>
    <row r="40" spans="7:40" x14ac:dyDescent="0.45">
      <c r="X40" s="1"/>
      <c r="Y40" s="1"/>
      <c r="Z40" s="1"/>
      <c r="AA40" s="1"/>
      <c r="AB40" s="1"/>
      <c r="AC40" s="1"/>
      <c r="AD40" s="1"/>
    </row>
    <row r="41" spans="7:40" x14ac:dyDescent="0.45">
      <c r="G41" s="2"/>
      <c r="X41" s="1"/>
      <c r="Y41" s="1"/>
      <c r="Z41" s="1"/>
      <c r="AA41" s="1"/>
      <c r="AB41" s="1"/>
      <c r="AC41" s="1"/>
      <c r="AD41" s="1"/>
    </row>
    <row r="46" spans="7:40" x14ac:dyDescent="0.45">
      <c r="G46" s="2"/>
    </row>
    <row r="51" spans="7:15" x14ac:dyDescent="0.45">
      <c r="G51" s="2"/>
    </row>
    <row r="57" spans="7:15" x14ac:dyDescent="0.45">
      <c r="G57" s="2"/>
    </row>
    <row r="58" spans="7:15" x14ac:dyDescent="0.45">
      <c r="O58" s="18"/>
    </row>
    <row r="59" spans="7:15" x14ac:dyDescent="0.45">
      <c r="O59" s="33"/>
    </row>
  </sheetData>
  <sheetProtection algorithmName="SHA-512" hashValue="HDfmuTKpB0As4DTy1GNR6jHCrXCJKH6SjohsqzGk//iU243ld1PNLLm251LxlAPQSAowcVL+WebW4ezyB3oPcQ==" saltValue="PIP0MGN1jxCnppBbxlBoRw==" spinCount="100000" sheet="1" objects="1" scenarios="1" selectLockedCells="1"/>
  <mergeCells count="41">
    <mergeCell ref="E3:F3"/>
    <mergeCell ref="E10:F10"/>
    <mergeCell ref="E9:F9"/>
    <mergeCell ref="E23:F23"/>
    <mergeCell ref="K23:K27"/>
    <mergeCell ref="K9:K10"/>
    <mergeCell ref="E12:E16"/>
    <mergeCell ref="E18:E19"/>
    <mergeCell ref="K12:K16"/>
    <mergeCell ref="K18:K21"/>
    <mergeCell ref="H4:H5"/>
    <mergeCell ref="E6:F6"/>
    <mergeCell ref="E5:F5"/>
    <mergeCell ref="E4:F4"/>
    <mergeCell ref="E30:F30"/>
    <mergeCell ref="E29:F29"/>
    <mergeCell ref="E26:F26"/>
    <mergeCell ref="E25:F25"/>
    <mergeCell ref="AC8:AE8"/>
    <mergeCell ref="AC18:AD18"/>
    <mergeCell ref="AC17:AD17"/>
    <mergeCell ref="AC9:AD9"/>
    <mergeCell ref="AC15:AD15"/>
    <mergeCell ref="AC16:AD16"/>
    <mergeCell ref="AC11:AD11"/>
    <mergeCell ref="AC14:AD14"/>
    <mergeCell ref="X28:AD36"/>
    <mergeCell ref="P9:P10"/>
    <mergeCell ref="AC10:AD10"/>
    <mergeCell ref="L18:L21"/>
    <mergeCell ref="Q19:V19"/>
    <mergeCell ref="Q20:V23"/>
    <mergeCell ref="Q24:V25"/>
    <mergeCell ref="E22:F22"/>
    <mergeCell ref="E21:F21"/>
    <mergeCell ref="L24:L27"/>
    <mergeCell ref="L3:S4"/>
    <mergeCell ref="K6:S6"/>
    <mergeCell ref="Q15:Q18"/>
    <mergeCell ref="R15:R18"/>
    <mergeCell ref="S15:T18"/>
  </mergeCells>
  <phoneticPr fontId="1"/>
  <dataValidations count="6">
    <dataValidation type="list" allowBlank="1" showInputMessage="1" showErrorMessage="1" sqref="G22:G23 K4" xr:uid="{51C21533-96F6-4496-BDA3-D8126BDA521C}">
      <formula1>"　,該当"</formula1>
    </dataValidation>
    <dataValidation type="list" allowBlank="1" showInputMessage="1" showErrorMessage="1" sqref="M24:M27" xr:uid="{B122F5C0-FC81-4FAD-A434-32144DAFA9AA}">
      <formula1>"　,一般,特別,同居特別"</formula1>
    </dataValidation>
    <dataValidation type="list" allowBlank="1" showInputMessage="1" showErrorMessage="1" sqref="M23" xr:uid="{8F087CE1-E2D1-462A-AABB-7A905CDFCFB0}">
      <formula1>"　,一般,特別"</formula1>
    </dataValidation>
    <dataValidation type="list" allowBlank="1" showInputMessage="1" showErrorMessage="1" sqref="G21" xr:uid="{4B6EF446-F05C-413C-8E81-1304E188D24B}">
      <formula1>"　,該当,該当（父）"</formula1>
    </dataValidation>
    <dataValidation type="list" allowBlank="1" showInputMessage="1" showErrorMessage="1" sqref="M12:M16" xr:uid="{C7B03403-A6DA-4A92-915D-9E6A545C7BCC}">
      <formula1>"　,1,2,3,4,5,6,7,8,9"</formula1>
    </dataValidation>
    <dataValidation type="list" allowBlank="1" showInputMessage="1" showErrorMessage="1" sqref="G25" xr:uid="{F3571798-FB5F-4F41-8209-8B2D612433B8}">
      <formula1>"　,普通,老人"</formula1>
    </dataValidation>
  </dataValidations>
  <pageMargins left="0.7" right="0.7" top="0.75" bottom="0.75" header="0.3" footer="0.3"/>
  <pageSetup paperSize="9" scale="50" orientation="landscape" r:id="rId1"/>
  <ignoredErrors>
    <ignoredError sqref="N15"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シミュレーション</vt:lpstr>
      <vt:lpstr>シミュレーション!Print_Area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2025-11-04T04:55:28Z</dcterms:modified>
</cp:coreProperties>
</file>