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0.xml" ContentType="application/vnd.openxmlformats-officedocument.drawingml.chartshapes+xml"/>
  <Override PartName="/xl/charts/chart23.xml" ContentType="application/vnd.openxmlformats-officedocument.drawingml.chart+xml"/>
  <Override PartName="/xl/drawings/drawing21.xml" ContentType="application/vnd.openxmlformats-officedocument.drawingml.chartshapes+xml"/>
  <Override PartName="/xl/charts/chart24.xml" ContentType="application/vnd.openxmlformats-officedocument.drawingml.chart+xml"/>
  <Override PartName="/xl/drawings/drawing22.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omments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6.xml" ContentType="application/vnd.openxmlformats-officedocument.drawing+xml"/>
  <Override PartName="/xl/comments6.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WServer01\建築指導課\Ｒ０３年度\02 審査担当\22建築物環境配慮制度に関すること\重要【ＣＡＳＢＥＥ】\01 CASBEE柏\02 2019年版\評価ソフト\"/>
    </mc:Choice>
  </mc:AlternateContent>
  <workbookProtection workbookAlgorithmName="SHA-512" workbookHashValue="k244eWhiSqEPGQkZkqYXG3MvzeAM+n15p555eSyMsHBvS4jmTIZz3TkDcrcCnDPE8XU/ZFZQNB6nDyMqUrgtMg==" workbookSaltValue="oV8NjL0cj6QExhH17ssMew==" workbookSpinCount="100000" lockStructure="1"/>
  <bookViews>
    <workbookView xWindow="0" yWindow="0" windowWidth="28800" windowHeight="12135" firstSheet="1" activeTab="1"/>
  </bookViews>
  <sheets>
    <sheet name="結果_IS" sheetId="21" state="hidden" r:id="rId1"/>
    <sheet name="メイン" sheetId="2" r:id="rId2"/>
    <sheet name="結果" sheetId="4" r:id="rId3"/>
    <sheet name="結果②" sheetId="25" r:id="rId4"/>
    <sheet name="標章① " sheetId="26" state="hidden" r:id="rId5"/>
    <sheet name="配慮" sheetId="7" r:id="rId6"/>
    <sheet name="配慮②" sheetId="23" r:id="rId7"/>
    <sheet name="係数" sheetId="3" r:id="rId8"/>
    <sheet name="採点Q1" sheetId="8" r:id="rId9"/>
    <sheet name="採点Q2" sheetId="9" r:id="rId10"/>
    <sheet name="採点Q3" sheetId="10" r:id="rId11"/>
    <sheet name="採点LR1" sheetId="11" r:id="rId12"/>
    <sheet name="計画書" sheetId="20" r:id="rId13"/>
    <sheet name="採点LR2" sheetId="13" r:id="rId14"/>
    <sheet name="採点LR3" sheetId="14" r:id="rId15"/>
    <sheet name="スコア" sheetId="5" r:id="rId16"/>
    <sheet name="採点K" sheetId="24" r:id="rId17"/>
    <sheet name="CO2計算" sheetId="6" r:id="rId18"/>
    <sheet name="条件(標準)" sheetId="16" r:id="rId19"/>
    <sheet name="条件(個別)" sheetId="17" r:id="rId20"/>
    <sheet name="重み" sheetId="18" r:id="rId21"/>
    <sheet name="CO2データ" sheetId="15" r:id="rId22"/>
    <sheet name="クレジット" sheetId="19"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16" hidden="1">採点K!$M$7:$M$22</definedName>
    <definedName name="_xlnm._FilterDatabase" localSheetId="8" hidden="1">採点Q1!#REF!</definedName>
    <definedName name="Cell_計算種別" localSheetId="3">[1]省エネメニュー!$L$2</definedName>
    <definedName name="Cell_計算種別">[2]省エネメニュー!$L$2</definedName>
    <definedName name="Cell_東電温暖化用HEMS削減効果" localSheetId="3">'[3]070507住宅マクロ条件一覧'!$V$196</definedName>
    <definedName name="Cell_東電温暖化用HEMS削減効果">'[4]070507住宅マクロ条件一覧'!$V$196</definedName>
    <definedName name="_xlnm.Print_Area" localSheetId="21">CO2データ!$A$1:$R$317</definedName>
    <definedName name="_xlnm.Print_Area" localSheetId="17">CO2計算!$B$1:$Z$178</definedName>
    <definedName name="_xlnm.Print_Area" localSheetId="22">クレジット!$A$1:$S$37</definedName>
    <definedName name="_xlnm.Print_Area" localSheetId="15">スコア!$A$1:$T$195</definedName>
    <definedName name="_xlnm.Print_Area" localSheetId="1">メイン!$A$1:$G$72</definedName>
    <definedName name="_xlnm.Print_Area" localSheetId="7">係数!$A$1:$N$87</definedName>
    <definedName name="_xlnm.Print_Area" localSheetId="12">計画書!$A$1:$Q$129</definedName>
    <definedName name="_xlnm.Print_Area" localSheetId="2">結果!$A$1:$P$98</definedName>
    <definedName name="_xlnm.Print_Area" localSheetId="0">結果_IS!$A$1:$P$98</definedName>
    <definedName name="_xlnm.Print_Area" localSheetId="3">結果②!$A$1:$Q$70</definedName>
    <definedName name="_xlnm.Print_Area" localSheetId="16">採点K!$A$1:$IT$79</definedName>
    <definedName name="_xlnm.Print_Area" localSheetId="11">採点LR1!$C$1:$P$137</definedName>
    <definedName name="_xlnm.Print_Area" localSheetId="13">採点LR2!$C$1:$P$325</definedName>
    <definedName name="_xlnm.Print_Area" localSheetId="14">採点LR3!$D$1:$P$239</definedName>
    <definedName name="_xlnm.Print_Area" localSheetId="8">採点Q1!$D$1:$P$442</definedName>
    <definedName name="_xlnm.Print_Area" localSheetId="9">採点Q2!$C$1:$P$429</definedName>
    <definedName name="_xlnm.Print_Area" localSheetId="10">採点Q3!$1:$112</definedName>
    <definedName name="_xlnm.Print_Area" localSheetId="20">重み!$A$1:$AE$194</definedName>
    <definedName name="_xlnm.Print_Area" localSheetId="19">'条件(個別)'!$A$1:$F$90</definedName>
    <definedName name="_xlnm.Print_Area" localSheetId="4">'標章① '!$A$1:$P$56</definedName>
    <definedName name="_xlnm.Print_Titles" localSheetId="20">重み!$5:$6</definedName>
    <definedName name="Z_047384A4_E844_4BB4_B522_1CE13C4699E4_.wvu.Cols" localSheetId="21" hidden="1">CO2データ!$G:$H,CO2データ!$S:$IV</definedName>
    <definedName name="Z_047384A4_E844_4BB4_B522_1CE13C4699E4_.wvu.Cols" localSheetId="17" hidden="1">CO2計算!$Q:$IV</definedName>
    <definedName name="Z_047384A4_E844_4BB4_B522_1CE13C4699E4_.wvu.Cols" localSheetId="22" hidden="1">クレジット!$T:$IV</definedName>
    <definedName name="Z_047384A4_E844_4BB4_B522_1CE13C4699E4_.wvu.Cols" localSheetId="15" hidden="1">スコア!$G:$G,スコア!$Y:$IZ</definedName>
    <definedName name="Z_047384A4_E844_4BB4_B522_1CE13C4699E4_.wvu.Cols" localSheetId="1" hidden="1">メイン!$I:$IV</definedName>
    <definedName name="Z_047384A4_E844_4BB4_B522_1CE13C4699E4_.wvu.Cols" localSheetId="11" hidden="1">採点LR1!$Q:$IV</definedName>
    <definedName name="Z_047384A4_E844_4BB4_B522_1CE13C4699E4_.wvu.Cols" localSheetId="13" hidden="1">採点LR2!$Q:$IW</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20" hidden="1">重み!$Q:$Q,重み!$AY:$AY,重み!$BP:$BP,重み!$CG:$IW</definedName>
    <definedName name="Z_047384A4_E844_4BB4_B522_1CE13C4699E4_.wvu.Cols" localSheetId="19" hidden="1">'条件(個別)'!$H:$IV</definedName>
    <definedName name="Z_047384A4_E844_4BB4_B522_1CE13C4699E4_.wvu.Cols" localSheetId="18" hidden="1">'条件(標準)'!$H:$IV</definedName>
    <definedName name="Z_047384A4_E844_4BB4_B522_1CE13C4699E4_.wvu.Cols" localSheetId="5" hidden="1">配慮!$H:$IW</definedName>
    <definedName name="Z_047384A4_E844_4BB4_B522_1CE13C4699E4_.wvu.PrintArea" localSheetId="21" hidden="1">CO2データ!$A$1:$R$317</definedName>
    <definedName name="Z_047384A4_E844_4BB4_B522_1CE13C4699E4_.wvu.PrintArea" localSheetId="17" hidden="1">CO2計算!$B$1:$Z$178</definedName>
    <definedName name="Z_047384A4_E844_4BB4_B522_1CE13C4699E4_.wvu.PrintArea" localSheetId="22" hidden="1">クレジット!$A$1:$S$37</definedName>
    <definedName name="Z_047384A4_E844_4BB4_B522_1CE13C4699E4_.wvu.PrintArea" localSheetId="15"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11" hidden="1">採点LR1!$C$1:$P$136</definedName>
    <definedName name="Z_047384A4_E844_4BB4_B522_1CE13C4699E4_.wvu.PrintArea" localSheetId="13" hidden="1">採点LR2!$C$1:$P$298</definedName>
    <definedName name="Z_047384A4_E844_4BB4_B522_1CE13C4699E4_.wvu.PrintArea" localSheetId="14" hidden="1">採点LR3!$C$1:$P$240</definedName>
    <definedName name="Z_047384A4_E844_4BB4_B522_1CE13C4699E4_.wvu.PrintArea" localSheetId="8" hidden="1">採点Q1!$A$1:$P$443</definedName>
    <definedName name="Z_047384A4_E844_4BB4_B522_1CE13C4699E4_.wvu.PrintArea" localSheetId="9" hidden="1">採点Q2!$C$1:$P$429</definedName>
    <definedName name="Z_047384A4_E844_4BB4_B522_1CE13C4699E4_.wvu.PrintArea" localSheetId="10" hidden="1">採点Q3!$C$1:$P$133</definedName>
    <definedName name="Z_047384A4_E844_4BB4_B522_1CE13C4699E4_.wvu.PrintArea" localSheetId="20" hidden="1">重み!$A$1:$CD$194</definedName>
    <definedName name="Z_047384A4_E844_4BB4_B522_1CE13C4699E4_.wvu.PrintTitles" localSheetId="20" hidden="1">重み!$5:$6</definedName>
    <definedName name="Z_047384A4_E844_4BB4_B522_1CE13C4699E4_.wvu.Rows" localSheetId="21"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7" hidden="1">CO2計算!$174:$65538,CO2計算!$26:$99,CO2計算!$138:$173</definedName>
    <definedName name="Z_047384A4_E844_4BB4_B522_1CE13C4699E4_.wvu.Rows" localSheetId="22" hidden="1">クレジット!$39:$65536,クレジット!$38:$38</definedName>
    <definedName name="Z_047384A4_E844_4BB4_B522_1CE13C4699E4_.wvu.Rows" localSheetId="15"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11" hidden="1">採点LR1!$298:$65524,採点LR1!#REF!,採点LR1!#REF!,採点LR1!$137:$296</definedName>
    <definedName name="Z_047384A4_E844_4BB4_B522_1CE13C4699E4_.wvu.Rows" localSheetId="13" hidden="1">採点LR2!$621:$65597,採点LR2!$257:$257,採点LR2!$299:$620</definedName>
    <definedName name="Z_047384A4_E844_4BB4_B522_1CE13C4699E4_.wvu.Rows" localSheetId="14" hidden="1">採点LR3!$241:$65537,採点LR3!#REF!,採点LR3!#REF!</definedName>
    <definedName name="Z_047384A4_E844_4BB4_B522_1CE13C4699E4_.wvu.Rows" localSheetId="8" hidden="1">採点Q1!$644:$65537,採点Q1!#REF!,採点Q1!$444:$643</definedName>
    <definedName name="Z_047384A4_E844_4BB4_B522_1CE13C4699E4_.wvu.Rows" localSheetId="9" hidden="1">採点Q2!$434:$65541,採点Q2!$168:$188,採点Q2!$228:$228,採点Q2!#REF!,採点Q2!$397:$421</definedName>
    <definedName name="Z_047384A4_E844_4BB4_B522_1CE13C4699E4_.wvu.Rows" localSheetId="10" hidden="1">採点Q3!$261:$65537,採点Q3!$113:$259</definedName>
    <definedName name="Z_047384A4_E844_4BB4_B522_1CE13C4699E4_.wvu.Rows" localSheetId="20" hidden="1">重み!$233:$65550,重み!$33:$34,重み!$99:$99,重み!$120:$120,重み!$137:$137,重み!$196:$232</definedName>
    <definedName name="Z_047384A4_E844_4BB4_B522_1CE13C4699E4_.wvu.Rows" localSheetId="19" hidden="1">'条件(個別)'!$73:$65536,'条件(個別)'!$37:$37</definedName>
    <definedName name="Z_047384A4_E844_4BB4_B522_1CE13C4699E4_.wvu.Rows" localSheetId="18" hidden="1">'条件(標準)'!$73:$65536,'条件(標準)'!$37:$37</definedName>
    <definedName name="Z_047384A4_E844_4BB4_B522_1CE13C4699E4_.wvu.Rows" localSheetId="5" hidden="1">配慮!$12:$65391,配慮!#REF!</definedName>
    <definedName name="にっこり1" localSheetId="3">[5]Sheet2!$C$6:$G$9</definedName>
    <definedName name="にっこり1" localSheetId="4">[6]Sheet2!$C$6:$G$9</definedName>
    <definedName name="にっこり1">[7]Sheet2!$C$6:$G$9</definedName>
    <definedName name="にっこり2" localSheetId="3">[5]Sheet2!$C$10:$G$13</definedName>
    <definedName name="にっこり2" localSheetId="4">[6]Sheet2!$C$10:$G$13</definedName>
    <definedName name="にっこり2">[7]Sheet2!$C$10:$G$13</definedName>
    <definedName name="にっこり3" localSheetId="3">[5]Sheet2!$C$14:$G$17</definedName>
    <definedName name="にっこり3" localSheetId="4">[6]Sheet2!$C$14:$G$17</definedName>
    <definedName name="にっこり3">[7]Sheet2!$C$14:$G$17</definedName>
    <definedName name="にっこり4" localSheetId="3">[5]Sheet2!$C$18:$G$21</definedName>
    <definedName name="にっこり4" localSheetId="4">[6]Sheet2!$C$18:$G$21</definedName>
    <definedName name="にっこり4">[7]Sheet2!$C$18:$G$21</definedName>
    <definedName name="にっこり5" localSheetId="3">[5]Sheet2!$C$22:$G$25</definedName>
    <definedName name="にっこり5" localSheetId="4">[6]Sheet2!$C$22:$G$25</definedName>
    <definedName name="にっこり5">[7]Sheet2!$C$22:$G$25</definedName>
    <definedName name="衛code" localSheetId="3">#REF!</definedName>
    <definedName name="衛code" localSheetId="16">#REF!</definedName>
    <definedName name="衛code" localSheetId="4">#REF!</definedName>
    <definedName name="衛code">#REF!</definedName>
    <definedName name="衛kg" localSheetId="3">#REF!</definedName>
    <definedName name="衛kg" localSheetId="16">#REF!</definedName>
    <definedName name="衛kg" localSheetId="4">#REF!</definedName>
    <definedName name="衛kg">#REF!</definedName>
    <definedName name="画像" localSheetId="3">INDIRECT([5]Sheet1!$H$11)</definedName>
    <definedName name="画像" localSheetId="4">INDIRECT([6]Sheet1!$H$11)</definedName>
    <definedName name="画像">INDIRECT([7]Sheet1!$H$11)</definedName>
    <definedName name="空code" localSheetId="3">#REF!</definedName>
    <definedName name="空code" localSheetId="16">#REF!</definedName>
    <definedName name="空code" localSheetId="4">#REF!</definedName>
    <definedName name="空code">#REF!</definedName>
    <definedName name="空kg" localSheetId="3">#REF!</definedName>
    <definedName name="空kg" localSheetId="16">#REF!</definedName>
    <definedName name="空kg" localSheetId="4">#REF!</definedName>
    <definedName name="空kg">#REF!</definedName>
    <definedName name="資材原単" localSheetId="3">[8]⑬原単位!$A$2:$L$2</definedName>
    <definedName name="資材原単">[9]⑬原単位!$A$2:$L$2</definedName>
    <definedName name="昇code" localSheetId="3">#REF!</definedName>
    <definedName name="昇code" localSheetId="16">#REF!</definedName>
    <definedName name="昇code" localSheetId="4">#REF!</definedName>
    <definedName name="昇code">#REF!</definedName>
    <definedName name="昇kg" localSheetId="3">#REF!</definedName>
    <definedName name="昇kg" localSheetId="16">#REF!</definedName>
    <definedName name="昇kg" localSheetId="4">#REF!</definedName>
    <definedName name="昇kg">#REF!</definedName>
    <definedName name="設備品目code" localSheetId="3">#REF!</definedName>
    <definedName name="設備品目code" localSheetId="16">#REF!</definedName>
    <definedName name="設備品目code" localSheetId="4">#REF!</definedName>
    <definedName name="設備品目code">#REF!</definedName>
    <definedName name="設備品目kg1" localSheetId="3">#REF!</definedName>
    <definedName name="設備品目kg1" localSheetId="4">#REF!</definedName>
    <definedName name="設備品目kg1">#REF!</definedName>
    <definedName name="設備品目kg2" localSheetId="3">#REF!</definedName>
    <definedName name="設備品目kg2" localSheetId="4">#REF!</definedName>
    <definedName name="設備品目kg2">#REF!</definedName>
    <definedName name="設備品目kg3" localSheetId="3">#REF!</definedName>
    <definedName name="設備品目kg3" localSheetId="4">#REF!</definedName>
    <definedName name="設備品目kg3">#REF!</definedName>
    <definedName name="設備品目kg4" localSheetId="3">#REF!</definedName>
    <definedName name="設備品目kg4" localSheetId="4">#REF!</definedName>
    <definedName name="設備品目kg4">#REF!</definedName>
    <definedName name="中目黒" localSheetId="3">#REF!</definedName>
    <definedName name="中目黒" localSheetId="4">#REF!</definedName>
    <definedName name="中目黒">#REF!</definedName>
    <definedName name="電code" localSheetId="3">#REF!</definedName>
    <definedName name="電code" localSheetId="4">#REF!</definedName>
    <definedName name="電code">#REF!</definedName>
    <definedName name="電kg" localSheetId="3">#REF!</definedName>
    <definedName name="電kg" localSheetId="4">#REF!</definedName>
    <definedName name="電kg">#REF!</definedName>
    <definedName name="表示領域" localSheetId="3">[5]Sheet1!$C$11:$G$14</definedName>
    <definedName name="表示領域" localSheetId="4">[6]Sheet1!$C$11:$G$14</definedName>
    <definedName name="表示領域">[7]Sheet1!$C$11:$G$14</definedName>
  </definedNames>
  <calcPr calcId="162913" calcMode="manual"/>
</workbook>
</file>

<file path=xl/calcChain.xml><?xml version="1.0" encoding="utf-8"?>
<calcChain xmlns="http://schemas.openxmlformats.org/spreadsheetml/2006/main">
  <c r="R3" i="26" l="1"/>
  <c r="P67" i="25" l="1"/>
  <c r="P63" i="25" l="1"/>
  <c r="P62" i="25"/>
  <c r="S62" i="25" s="1"/>
  <c r="P54" i="25"/>
  <c r="S54" i="25" s="1"/>
  <c r="P50" i="25"/>
  <c r="S50" i="25" s="1"/>
  <c r="S18" i="25" s="1"/>
  <c r="P43" i="25"/>
  <c r="S43" i="25" s="1"/>
  <c r="P45" i="25"/>
  <c r="S45" i="25" s="1"/>
  <c r="P44" i="25"/>
  <c r="S44" i="25" s="1"/>
  <c r="P42" i="25"/>
  <c r="P38" i="25"/>
  <c r="P37" i="25"/>
  <c r="S37" i="25" s="1"/>
  <c r="P36" i="25"/>
  <c r="P35" i="25"/>
  <c r="S35" i="25" s="1"/>
  <c r="D8" i="25"/>
  <c r="N6" i="25"/>
  <c r="K6" i="25"/>
  <c r="P68" i="25"/>
  <c r="J68" i="25"/>
  <c r="S67" i="25"/>
  <c r="J67" i="25"/>
  <c r="J65" i="25"/>
  <c r="S63" i="25"/>
  <c r="J63" i="25"/>
  <c r="J62" i="25"/>
  <c r="J60" i="25"/>
  <c r="B59" i="25"/>
  <c r="P56" i="25"/>
  <c r="J56" i="25"/>
  <c r="P55" i="25"/>
  <c r="J55" i="25"/>
  <c r="J54" i="25"/>
  <c r="J52" i="25"/>
  <c r="J50" i="25"/>
  <c r="J48" i="25"/>
  <c r="B47" i="25"/>
  <c r="J45" i="25"/>
  <c r="J44" i="25"/>
  <c r="J43" i="25"/>
  <c r="S42" i="25"/>
  <c r="J42" i="25"/>
  <c r="J40" i="25"/>
  <c r="S38" i="25"/>
  <c r="J38" i="25"/>
  <c r="J37" i="25"/>
  <c r="S36" i="25"/>
  <c r="J36" i="25"/>
  <c r="J35" i="25"/>
  <c r="J33" i="25"/>
  <c r="B32" i="25"/>
  <c r="P24" i="25"/>
  <c r="H24" i="25"/>
  <c r="B24" i="25"/>
  <c r="U13" i="25"/>
  <c r="R13" i="25"/>
  <c r="U12" i="25"/>
  <c r="R12" i="25"/>
  <c r="U11" i="25"/>
  <c r="R11" i="25"/>
  <c r="S21" i="25" l="1"/>
  <c r="S19" i="25"/>
  <c r="S12" i="25" s="1"/>
  <c r="K14" i="25" s="1"/>
  <c r="S20" i="25"/>
  <c r="S17" i="25"/>
  <c r="S16" i="25"/>
  <c r="S13" i="25" l="1"/>
  <c r="K16" i="25" s="1"/>
  <c r="W12" i="25"/>
  <c r="T12" i="25"/>
  <c r="X12" i="25"/>
  <c r="V12" i="25"/>
  <c r="S11" i="25"/>
  <c r="K12" i="25" s="1"/>
  <c r="T13" i="25" l="1"/>
  <c r="V13" i="25"/>
  <c r="X13" i="25"/>
  <c r="W13" i="25"/>
  <c r="V11" i="25"/>
  <c r="W11" i="25"/>
  <c r="T11" i="25"/>
  <c r="X11" i="25"/>
  <c r="L38" i="24" l="1"/>
  <c r="L36" i="24"/>
  <c r="L35" i="24"/>
  <c r="L22" i="24"/>
  <c r="L20" i="24"/>
  <c r="L15" i="24"/>
  <c r="L14" i="24"/>
  <c r="L13" i="24"/>
  <c r="L12" i="24"/>
  <c r="L10" i="24"/>
  <c r="L9" i="24"/>
  <c r="L8" i="24"/>
  <c r="L7" i="24"/>
  <c r="B32" i="24" l="1"/>
  <c r="B17" i="24"/>
  <c r="B4" i="24"/>
  <c r="M1" i="24"/>
  <c r="CR123" i="18" l="1"/>
  <c r="CR124" i="18"/>
  <c r="CR125" i="18"/>
  <c r="CR126" i="18"/>
  <c r="CR127" i="18"/>
  <c r="CR128" i="18"/>
  <c r="CR129" i="18"/>
  <c r="CR130" i="18"/>
  <c r="CR131" i="18"/>
  <c r="CR132" i="18"/>
  <c r="CR133" i="18"/>
  <c r="CR134" i="18"/>
  <c r="CR135" i="18"/>
  <c r="CR136" i="18"/>
  <c r="CR137" i="18"/>
  <c r="CR138" i="18"/>
  <c r="F121" i="6" l="1"/>
  <c r="F120" i="6"/>
  <c r="O120" i="6" l="1"/>
  <c r="L120" i="6"/>
  <c r="O121" i="6"/>
  <c r="L121" i="6"/>
  <c r="U5" i="20"/>
  <c r="Y5" i="20"/>
  <c r="Z6" i="20"/>
  <c r="W8" i="20"/>
  <c r="X8" i="20" s="1"/>
  <c r="AA8" i="20"/>
  <c r="AB8" i="20" s="1"/>
  <c r="W9" i="20"/>
  <c r="X9" i="20" s="1"/>
  <c r="AA9" i="20"/>
  <c r="AB9" i="20" s="1"/>
  <c r="W10" i="20"/>
  <c r="X10" i="20" s="1"/>
  <c r="AA10" i="20"/>
  <c r="AB10" i="20"/>
  <c r="W11" i="20"/>
  <c r="X11" i="20" s="1"/>
  <c r="AA11" i="20"/>
  <c r="AB11" i="20"/>
  <c r="S97" i="20"/>
  <c r="S98" i="20"/>
  <c r="S99" i="20"/>
  <c r="S100" i="20"/>
  <c r="S101" i="20"/>
  <c r="S102" i="20"/>
  <c r="S103" i="20"/>
  <c r="S104" i="20"/>
  <c r="S105" i="20"/>
  <c r="S106" i="20"/>
  <c r="S107" i="20"/>
  <c r="S108" i="20"/>
  <c r="S109" i="20"/>
  <c r="S110" i="20"/>
  <c r="S111" i="20"/>
  <c r="S112" i="20"/>
  <c r="AA5" i="20" l="1"/>
  <c r="W5" i="20"/>
  <c r="X5" i="20"/>
  <c r="M6" i="20" s="1"/>
  <c r="AB5" i="20"/>
  <c r="N128" i="20" l="1"/>
  <c r="G92" i="20" l="1"/>
  <c r="L126" i="20" l="1"/>
  <c r="K126" i="20"/>
  <c r="P128" i="20"/>
  <c r="H127" i="20"/>
  <c r="H126" i="20" s="1"/>
  <c r="G47" i="20"/>
  <c r="G74" i="20" s="1"/>
  <c r="G56" i="20"/>
  <c r="G75" i="20" s="1"/>
  <c r="J76" i="20"/>
  <c r="H53" i="20" l="1"/>
  <c r="H54" i="20"/>
  <c r="H55" i="20"/>
  <c r="H44" i="20"/>
  <c r="J47" i="20" s="1"/>
  <c r="V44" i="20" s="1"/>
  <c r="H45" i="20"/>
  <c r="H46" i="20"/>
  <c r="N82" i="20"/>
  <c r="N83" i="20"/>
  <c r="N56" i="20" l="1"/>
  <c r="V57" i="20" s="1"/>
  <c r="J56" i="20"/>
  <c r="V53" i="20" s="1"/>
  <c r="M56" i="20"/>
  <c r="V56" i="20" s="1"/>
  <c r="K56" i="20"/>
  <c r="V54" i="20" s="1"/>
  <c r="W53" i="20" s="1"/>
  <c r="X53" i="20" s="1"/>
  <c r="L56" i="20"/>
  <c r="V55" i="20" s="1"/>
  <c r="H56" i="20"/>
  <c r="H47" i="20"/>
  <c r="D11" i="7"/>
  <c r="L66" i="4" s="1"/>
  <c r="D10" i="7"/>
  <c r="D9" i="7"/>
  <c r="H70" i="4" s="1"/>
  <c r="D8" i="7"/>
  <c r="B70" i="4" s="1"/>
  <c r="D7" i="7"/>
  <c r="L68" i="4" s="1"/>
  <c r="D6" i="7"/>
  <c r="D5" i="7"/>
  <c r="B68" i="4" s="1"/>
  <c r="D4" i="7"/>
  <c r="B66" i="4" s="1"/>
  <c r="L70" i="4"/>
  <c r="H68" i="4"/>
  <c r="W55" i="20" l="1"/>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K5" i="21" s="1"/>
  <c r="J3" i="2"/>
  <c r="Z3" i="5" s="1"/>
  <c r="R124" i="5" l="1"/>
  <c r="R129" i="5"/>
  <c r="R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H59" i="15"/>
  <c r="O59" i="15" s="1"/>
  <c r="H40" i="15"/>
  <c r="O40" i="15" s="1"/>
  <c r="H35" i="15"/>
  <c r="O35" i="15" s="1"/>
  <c r="G24" i="15"/>
  <c r="G30" i="15" s="1"/>
  <c r="G36" i="15" s="1"/>
  <c r="G42" i="15" s="1"/>
  <c r="G48" i="15" s="1"/>
  <c r="G54" i="15" s="1"/>
  <c r="G60" i="15" s="1"/>
  <c r="G20" i="15"/>
  <c r="G26" i="15" s="1"/>
  <c r="G32" i="15" s="1"/>
  <c r="G38" i="15" s="1"/>
  <c r="G44" i="15" s="1"/>
  <c r="G50" i="15" s="1"/>
  <c r="G56" i="15" s="1"/>
  <c r="G18" i="15"/>
  <c r="G17" i="15"/>
  <c r="G23" i="15" s="1"/>
  <c r="G29" i="15" s="1"/>
  <c r="G35" i="15" s="1"/>
  <c r="G41" i="15" s="1"/>
  <c r="G47" i="15" s="1"/>
  <c r="G53" i="15" s="1"/>
  <c r="G59" i="15" s="1"/>
  <c r="H16" i="15"/>
  <c r="O16" i="15" s="1"/>
  <c r="G16" i="15"/>
  <c r="G22" i="15" s="1"/>
  <c r="G28" i="15" s="1"/>
  <c r="G34" i="15" s="1"/>
  <c r="G40" i="15" s="1"/>
  <c r="G46" i="15" s="1"/>
  <c r="G52" i="15" s="1"/>
  <c r="G58" i="15" s="1"/>
  <c r="G15" i="15"/>
  <c r="G21" i="15" s="1"/>
  <c r="G27" i="15" s="1"/>
  <c r="G33" i="15" s="1"/>
  <c r="G39" i="15" s="1"/>
  <c r="G45" i="15" s="1"/>
  <c r="G51" i="15" s="1"/>
  <c r="G57" i="15" s="1"/>
  <c r="G14" i="15"/>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L127" i="6" s="1"/>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s="1"/>
  <c r="Z34" i="4"/>
  <c r="Z33" i="4"/>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2" i="20" s="1"/>
  <c r="N62" i="2"/>
  <c r="J62" i="2"/>
  <c r="L62" i="2" s="1"/>
  <c r="R61" i="2"/>
  <c r="N61" i="2"/>
  <c r="F32" i="6" s="1"/>
  <c r="L61" i="2"/>
  <c r="J61" i="2"/>
  <c r="R60" i="2"/>
  <c r="J60" i="2"/>
  <c r="N60" i="2" s="1"/>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D43" i="2"/>
  <c r="I216" i="15"/>
  <c r="P46" i="15" l="1"/>
  <c r="L46" i="15"/>
  <c r="O46" i="15"/>
  <c r="K46" i="15"/>
  <c r="N46" i="15"/>
  <c r="J46" i="15"/>
  <c r="Q46" i="15"/>
  <c r="M46" i="15"/>
  <c r="I46" i="15"/>
  <c r="P41" i="15"/>
  <c r="L41" i="15"/>
  <c r="O41" i="15"/>
  <c r="K41" i="15"/>
  <c r="N41" i="15"/>
  <c r="J41" i="15"/>
  <c r="Q41" i="15"/>
  <c r="M41" i="15"/>
  <c r="I41" i="15"/>
  <c r="O42" i="15"/>
  <c r="L16" i="15"/>
  <c r="P16" i="15"/>
  <c r="L35" i="15"/>
  <c r="P35" i="15"/>
  <c r="L40" i="15"/>
  <c r="P40" i="15"/>
  <c r="P42" i="15" s="1"/>
  <c r="L59" i="15"/>
  <c r="P59" i="15"/>
  <c r="Y90" i="5"/>
  <c r="O90" i="5" s="1"/>
  <c r="K90" i="18" s="1"/>
  <c r="V29" i="4"/>
  <c r="V33" i="4" s="1"/>
  <c r="K91" i="18"/>
  <c r="Y91" i="5"/>
  <c r="O91" i="5" s="1"/>
  <c r="H11" i="15"/>
  <c r="I16" i="15"/>
  <c r="M16" i="15"/>
  <c r="Q16" i="15"/>
  <c r="H29" i="15"/>
  <c r="H34" i="15"/>
  <c r="I35" i="15"/>
  <c r="M35" i="15"/>
  <c r="Q35" i="15"/>
  <c r="I40" i="15"/>
  <c r="I42" i="15" s="1"/>
  <c r="M40" i="15"/>
  <c r="M42" i="15" s="1"/>
  <c r="Q40" i="15"/>
  <c r="H53" i="15"/>
  <c r="H58" i="15"/>
  <c r="I59" i="15"/>
  <c r="M59" i="15"/>
  <c r="Q59" i="15"/>
  <c r="U33" i="4"/>
  <c r="K51" i="18"/>
  <c r="Y51" i="5"/>
  <c r="O51" i="5" s="1"/>
  <c r="J16" i="15"/>
  <c r="N16" i="15"/>
  <c r="H23" i="15"/>
  <c r="H28" i="15"/>
  <c r="J35" i="15"/>
  <c r="N35" i="15"/>
  <c r="J40" i="15"/>
  <c r="J42" i="15" s="1"/>
  <c r="N40" i="15"/>
  <c r="N42" i="15" s="1"/>
  <c r="H47" i="15"/>
  <c r="H52" i="15"/>
  <c r="J59" i="15"/>
  <c r="N59" i="15"/>
  <c r="F189" i="14"/>
  <c r="I111" i="6"/>
  <c r="H10" i="15"/>
  <c r="K16" i="15"/>
  <c r="H17" i="15"/>
  <c r="H22" i="15"/>
  <c r="K35" i="15"/>
  <c r="K40" i="15"/>
  <c r="K42" i="15" s="1"/>
  <c r="K59" i="15"/>
  <c r="F70" i="2"/>
  <c r="G34" i="20"/>
  <c r="F46" i="20"/>
  <c r="F44" i="20"/>
  <c r="F53" i="20" s="1"/>
  <c r="H47" i="1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97" i="20"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H15" i="6"/>
  <c r="O15" i="6"/>
  <c r="I29" i="6"/>
  <c r="I52" i="6"/>
  <c r="J71" i="6"/>
  <c r="I105" i="6"/>
  <c r="K77" i="8"/>
  <c r="K90" i="8"/>
  <c r="K104" i="8"/>
  <c r="K118" i="8"/>
  <c r="K127" i="8"/>
  <c r="M148" i="8"/>
  <c r="F178" i="8"/>
  <c r="F224" i="8"/>
  <c r="F233" i="8"/>
  <c r="F248" i="8"/>
  <c r="F351" i="8"/>
  <c r="O14" i="6"/>
  <c r="I15"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I127" i="6"/>
  <c r="L66" i="2"/>
  <c r="O44" i="8" s="1"/>
  <c r="E77" i="17"/>
  <c r="F126" i="6"/>
  <c r="L126" i="6" s="1"/>
  <c r="J47" i="2"/>
  <c r="C63" i="2"/>
  <c r="O61" i="2"/>
  <c r="J64" i="2"/>
  <c r="O16" i="11"/>
  <c r="O56" i="2"/>
  <c r="F33" i="6"/>
  <c r="O62" i="2"/>
  <c r="U29" i="6"/>
  <c r="L29" i="6"/>
  <c r="R29" i="6"/>
  <c r="O29" i="6"/>
  <c r="AE8" i="18"/>
  <c r="Y8" i="18"/>
  <c r="F31" i="6"/>
  <c r="O60" i="2"/>
  <c r="L32" i="6"/>
  <c r="O32" i="6"/>
  <c r="U32" i="6"/>
  <c r="R32" i="6"/>
  <c r="S25" i="6"/>
  <c r="L47" i="11"/>
  <c r="G16" i="20"/>
  <c r="P10" i="15" l="1"/>
  <c r="L10" i="15"/>
  <c r="O10" i="15"/>
  <c r="K10" i="15"/>
  <c r="N10" i="15"/>
  <c r="J10" i="15"/>
  <c r="Q10" i="15"/>
  <c r="M10" i="15"/>
  <c r="I10" i="15"/>
  <c r="Q23" i="15"/>
  <c r="M23" i="15"/>
  <c r="I23" i="15"/>
  <c r="P23" i="15"/>
  <c r="L23" i="15"/>
  <c r="O23" i="15"/>
  <c r="K23" i="15"/>
  <c r="N23" i="15"/>
  <c r="J23" i="15"/>
  <c r="P22" i="15"/>
  <c r="P24" i="15" s="1"/>
  <c r="I12" i="6" s="1"/>
  <c r="L22" i="15"/>
  <c r="L24" i="15" s="1"/>
  <c r="O22" i="15"/>
  <c r="O24" i="15" s="1"/>
  <c r="H12" i="6" s="1"/>
  <c r="K22" i="15"/>
  <c r="N22" i="15"/>
  <c r="N24" i="15" s="1"/>
  <c r="J22" i="15"/>
  <c r="J24" i="15" s="1"/>
  <c r="Q22" i="15"/>
  <c r="Q24" i="15" s="1"/>
  <c r="J12" i="6" s="1"/>
  <c r="M22" i="15"/>
  <c r="I22" i="15"/>
  <c r="Q52" i="15"/>
  <c r="M52" i="15"/>
  <c r="I52" i="15"/>
  <c r="P52" i="15"/>
  <c r="L52" i="15"/>
  <c r="O52" i="15"/>
  <c r="K52" i="15"/>
  <c r="N52" i="15"/>
  <c r="J52" i="15"/>
  <c r="N18" i="15"/>
  <c r="N58" i="15"/>
  <c r="N60" i="15" s="1"/>
  <c r="J58" i="15"/>
  <c r="J60" i="15" s="1"/>
  <c r="Q58" i="15"/>
  <c r="Q60" i="15" s="1"/>
  <c r="J18" i="6" s="1"/>
  <c r="M58" i="15"/>
  <c r="M60" i="15" s="1"/>
  <c r="I58" i="15"/>
  <c r="I60" i="15" s="1"/>
  <c r="P58" i="15"/>
  <c r="P60" i="15" s="1"/>
  <c r="I18" i="6" s="1"/>
  <c r="L58" i="15"/>
  <c r="L60" i="15" s="1"/>
  <c r="O58" i="15"/>
  <c r="O60" i="15" s="1"/>
  <c r="H18" i="6" s="1"/>
  <c r="K58" i="15"/>
  <c r="K60" i="15" s="1"/>
  <c r="N34" i="15"/>
  <c r="N36" i="15" s="1"/>
  <c r="J34" i="15"/>
  <c r="J36" i="15" s="1"/>
  <c r="Q34" i="15"/>
  <c r="Q36" i="15" s="1"/>
  <c r="J14" i="6" s="1"/>
  <c r="M34" i="15"/>
  <c r="M36" i="15" s="1"/>
  <c r="I34" i="15"/>
  <c r="I36" i="15" s="1"/>
  <c r="P34" i="15"/>
  <c r="P36" i="15" s="1"/>
  <c r="I14" i="6" s="1"/>
  <c r="L34" i="15"/>
  <c r="L36" i="15" s="1"/>
  <c r="O34" i="15"/>
  <c r="O36" i="15" s="1"/>
  <c r="H14" i="6" s="1"/>
  <c r="K34" i="15"/>
  <c r="K36" i="15" s="1"/>
  <c r="I18" i="15"/>
  <c r="Q48" i="15"/>
  <c r="J16" i="6" s="1"/>
  <c r="P17" i="15"/>
  <c r="L17" i="15"/>
  <c r="O17" i="15"/>
  <c r="O18" i="15" s="1"/>
  <c r="H11" i="6" s="1"/>
  <c r="K17" i="15"/>
  <c r="N17" i="15"/>
  <c r="J17" i="15"/>
  <c r="Q17" i="15"/>
  <c r="M17" i="15"/>
  <c r="M18" i="15" s="1"/>
  <c r="I17" i="15"/>
  <c r="Q47" i="15"/>
  <c r="M47" i="15"/>
  <c r="M48" i="15" s="1"/>
  <c r="I47" i="15"/>
  <c r="P47" i="15"/>
  <c r="L47" i="15"/>
  <c r="O47" i="15"/>
  <c r="O48" i="15" s="1"/>
  <c r="H16" i="6" s="1"/>
  <c r="K47" i="15"/>
  <c r="K48" i="15" s="1"/>
  <c r="N47" i="15"/>
  <c r="J47" i="15"/>
  <c r="J48" i="15" s="1"/>
  <c r="J18" i="15"/>
  <c r="N53" i="15"/>
  <c r="J53" i="15"/>
  <c r="Q53" i="15"/>
  <c r="M53" i="15"/>
  <c r="I53" i="15"/>
  <c r="P53" i="15"/>
  <c r="L53" i="15"/>
  <c r="O53" i="15"/>
  <c r="K53" i="15"/>
  <c r="N29" i="15"/>
  <c r="J29" i="15"/>
  <c r="Q29" i="15"/>
  <c r="M29" i="15"/>
  <c r="I29" i="15"/>
  <c r="P29" i="15"/>
  <c r="L29" i="15"/>
  <c r="O29" i="15"/>
  <c r="K29" i="15"/>
  <c r="N11" i="15"/>
  <c r="J11" i="15"/>
  <c r="Q11" i="15"/>
  <c r="M11" i="15"/>
  <c r="I11" i="15"/>
  <c r="P11" i="15"/>
  <c r="L11" i="15"/>
  <c r="O11" i="15"/>
  <c r="K11" i="15"/>
  <c r="P18" i="15"/>
  <c r="I11" i="6" s="1"/>
  <c r="L48" i="15"/>
  <c r="F45" i="20"/>
  <c r="F54" i="20" s="1"/>
  <c r="F56" i="20" s="1"/>
  <c r="J47" i="11"/>
  <c r="K18" i="15"/>
  <c r="Q28" i="15"/>
  <c r="M28" i="15"/>
  <c r="M30" i="15" s="1"/>
  <c r="I28" i="15"/>
  <c r="I30" i="15" s="1"/>
  <c r="P28" i="15"/>
  <c r="L28" i="15"/>
  <c r="O28" i="15"/>
  <c r="O30" i="15" s="1"/>
  <c r="H13" i="6" s="1"/>
  <c r="K28" i="15"/>
  <c r="K30" i="15" s="1"/>
  <c r="N28" i="15"/>
  <c r="J28" i="15"/>
  <c r="J30" i="15" s="1"/>
  <c r="Q42" i="15"/>
  <c r="J15" i="6" s="1"/>
  <c r="Q18" i="15"/>
  <c r="J11" i="6" s="1"/>
  <c r="L42" i="15"/>
  <c r="L18" i="15"/>
  <c r="I48" i="15"/>
  <c r="N48" i="15"/>
  <c r="P48" i="15"/>
  <c r="I16" i="6" s="1"/>
  <c r="H117" i="20"/>
  <c r="T113" i="20"/>
  <c r="F47" i="20"/>
  <c r="N49" i="2"/>
  <c r="F27" i="6" s="1"/>
  <c r="R27" i="6" s="1"/>
  <c r="O30" i="6"/>
  <c r="L30" i="6"/>
  <c r="U30" i="6"/>
  <c r="O57" i="2"/>
  <c r="L16" i="18"/>
  <c r="K125" i="18"/>
  <c r="N47" i="2"/>
  <c r="F26" i="6" s="1"/>
  <c r="E87" i="17"/>
  <c r="O95" i="15"/>
  <c r="U96" i="15" s="1"/>
  <c r="J90" i="3"/>
  <c r="N188" i="15"/>
  <c r="J120" i="6"/>
  <c r="H113" i="20"/>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R31" i="6" s="1"/>
  <c r="U31" i="6"/>
  <c r="U33" i="6"/>
  <c r="O33" i="6"/>
  <c r="L33" i="6"/>
  <c r="R33" i="6"/>
  <c r="O54" i="15" l="1"/>
  <c r="H17" i="6" s="1"/>
  <c r="M54" i="15"/>
  <c r="M12" i="15"/>
  <c r="K12" i="15"/>
  <c r="J54" i="15"/>
  <c r="L54" i="15"/>
  <c r="Q54" i="15"/>
  <c r="J17" i="6" s="1"/>
  <c r="Q12" i="15"/>
  <c r="J10" i="6" s="1"/>
  <c r="O12" i="15"/>
  <c r="H10" i="6" s="1"/>
  <c r="L30" i="15"/>
  <c r="Q30" i="15"/>
  <c r="J13" i="6" s="1"/>
  <c r="N54" i="15"/>
  <c r="P54" i="15"/>
  <c r="I17" i="6" s="1"/>
  <c r="I24" i="15"/>
  <c r="J12" i="15"/>
  <c r="L12" i="15"/>
  <c r="N30" i="15"/>
  <c r="P30" i="15"/>
  <c r="I13" i="6" s="1"/>
  <c r="K54" i="15"/>
  <c r="I54" i="15"/>
  <c r="M24" i="15"/>
  <c r="K24" i="15"/>
  <c r="I12" i="15"/>
  <c r="N12" i="15"/>
  <c r="P12" i="15"/>
  <c r="I10" i="6" s="1"/>
  <c r="H16" i="20"/>
  <c r="K16" i="11"/>
  <c r="H15" i="20"/>
  <c r="H118" i="20"/>
  <c r="J93" i="20" s="1"/>
  <c r="P93" i="20"/>
  <c r="H118" i="6" s="1"/>
  <c r="H32" i="20"/>
  <c r="H33" i="20"/>
  <c r="O47" i="2"/>
  <c r="O49" i="2"/>
  <c r="O27" i="6"/>
  <c r="L27" i="6"/>
  <c r="U27" i="6"/>
  <c r="K64" i="2"/>
  <c r="E17" i="21"/>
  <c r="O66" i="2"/>
  <c r="G16" i="11"/>
  <c r="G22" i="11" s="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H34" i="20"/>
  <c r="F118" i="6"/>
  <c r="H120" i="6"/>
  <c r="F270" i="9"/>
  <c r="I126" i="6"/>
  <c r="K66" i="2"/>
  <c r="K62" i="2"/>
  <c r="M116" i="9"/>
  <c r="K47" i="20"/>
  <c r="V45" i="20" s="1"/>
  <c r="W44" i="20" s="1"/>
  <c r="X44" i="20" s="1"/>
  <c r="K60" i="2"/>
  <c r="K260" i="9"/>
  <c r="F28" i="6"/>
  <c r="O54" i="2"/>
  <c r="K61" i="2"/>
  <c r="F292" i="9"/>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8" i="11"/>
  <c r="O26" i="6"/>
  <c r="U26" i="6" s="1"/>
  <c r="F125" i="6" l="1"/>
  <c r="F122" i="6"/>
  <c r="T96" i="20"/>
  <c r="F86" i="6"/>
  <c r="F90" i="6" s="1"/>
  <c r="H35" i="20"/>
  <c r="L47" i="20"/>
  <c r="V46" i="20" s="1"/>
  <c r="W45" i="20" s="1"/>
  <c r="X45" i="20" s="1"/>
  <c r="N47" i="20"/>
  <c r="V48" i="20" s="1"/>
  <c r="M47" i="20"/>
  <c r="V47" i="20" s="1"/>
  <c r="F74" i="6"/>
  <c r="F77" i="6" s="1"/>
  <c r="F104" i="6"/>
  <c r="F62" i="6"/>
  <c r="F63" i="6" s="1"/>
  <c r="G20" i="11"/>
  <c r="J127"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D12" i="21" s="1"/>
  <c r="F251" i="9"/>
  <c r="L113" i="20"/>
  <c r="J118" i="6" s="1"/>
  <c r="O118" i="6" s="1"/>
  <c r="R35" i="6"/>
  <c r="O24" i="6"/>
  <c r="O133" i="6" s="1"/>
  <c r="D9" i="16" s="1"/>
  <c r="S40" i="21" s="1"/>
  <c r="K35" i="20"/>
  <c r="N35" i="20"/>
  <c r="V35" i="20" s="1"/>
  <c r="M35" i="20"/>
  <c r="V34" i="20" s="1"/>
  <c r="J28" i="11"/>
  <c r="J35" i="20"/>
  <c r="F271" i="9"/>
  <c r="F297" i="9"/>
  <c r="F103" i="6"/>
  <c r="L35" i="20"/>
  <c r="F38" i="6"/>
  <c r="F39" i="6" s="1"/>
  <c r="U35" i="6"/>
  <c r="V96" i="5"/>
  <c r="F296" i="9"/>
  <c r="F293" i="9"/>
  <c r="F294" i="9"/>
  <c r="F295"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75" i="6"/>
  <c r="F78" i="6"/>
  <c r="F76" i="6"/>
  <c r="F55" i="6"/>
  <c r="F53" i="6"/>
  <c r="F51" i="6"/>
  <c r="F54" i="6"/>
  <c r="F52" i="6"/>
  <c r="F49" i="6"/>
  <c r="F47" i="6"/>
  <c r="F45" i="6"/>
  <c r="F48" i="6"/>
  <c r="F46" i="6"/>
  <c r="F61" i="6"/>
  <c r="F59" i="6"/>
  <c r="F57" i="6"/>
  <c r="F60" i="6"/>
  <c r="F58" i="6"/>
  <c r="F65" i="6"/>
  <c r="F66" i="6"/>
  <c r="F73" i="6"/>
  <c r="F71" i="6"/>
  <c r="F70" i="6"/>
  <c r="F128" i="6" l="1"/>
  <c r="F87" i="6"/>
  <c r="F89" i="6"/>
  <c r="F91" i="6"/>
  <c r="F88" i="6"/>
  <c r="J125" i="6"/>
  <c r="W46" i="20"/>
  <c r="X46" i="20" s="1"/>
  <c r="AE164" i="5"/>
  <c r="F83" i="6"/>
  <c r="O50" i="11"/>
  <c r="V33" i="20"/>
  <c r="W33" i="20" s="1"/>
  <c r="X33" i="20" s="1"/>
  <c r="O48" i="11"/>
  <c r="V31" i="20"/>
  <c r="W47" i="20"/>
  <c r="X47" i="20" s="1"/>
  <c r="U42" i="20"/>
  <c r="W34" i="20"/>
  <c r="X34" i="20" s="1"/>
  <c r="O49" i="11"/>
  <c r="V32" i="20"/>
  <c r="U29" i="20" s="1"/>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52" i="11"/>
  <c r="H18" i="20"/>
  <c r="F16" i="11" s="1"/>
  <c r="F42" i="6"/>
  <c r="F40" i="6"/>
  <c r="L95" i="6" s="1"/>
  <c r="E16" i="16" s="1"/>
  <c r="F41" i="6"/>
  <c r="O96" i="6" s="1"/>
  <c r="D17" i="16" s="1"/>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c r="E15" i="16" s="1"/>
  <c r="O94" i="6"/>
  <c r="D15" i="16" s="1"/>
  <c r="O116" i="6" l="1"/>
  <c r="O135" i="6" s="1"/>
  <c r="D46" i="16" s="1"/>
  <c r="U40" i="21" s="1"/>
  <c r="Y40" i="21" s="1"/>
  <c r="W31" i="20"/>
  <c r="X31" i="20" s="1"/>
  <c r="AY10" i="5"/>
  <c r="AW10" i="5" s="1"/>
  <c r="AS10" i="5" s="1"/>
  <c r="L97" i="6"/>
  <c r="E18" i="16" s="1"/>
  <c r="L98" i="6"/>
  <c r="E19" i="16" s="1"/>
  <c r="W42" i="20"/>
  <c r="J41" i="20" s="1"/>
  <c r="J74" i="20" s="1"/>
  <c r="X42" i="20"/>
  <c r="W32" i="20"/>
  <c r="X32" i="20" s="1"/>
  <c r="W29" i="20"/>
  <c r="X29" i="20"/>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54" i="9"/>
  <c r="J53" i="9" s="1"/>
  <c r="H70" i="18"/>
  <c r="AG70" i="5"/>
  <c r="H71" i="18"/>
  <c r="AG71" i="5"/>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J15" i="14" l="1"/>
  <c r="K15" i="14" s="1"/>
  <c r="U40" i="4"/>
  <c r="O136" i="6"/>
  <c r="J23" i="20"/>
  <c r="AG35" i="5"/>
  <c r="J50" i="20"/>
  <c r="J75" i="20" s="1"/>
  <c r="AG174" i="5"/>
  <c r="K55" i="9"/>
  <c r="K57" i="9" s="1"/>
  <c r="E161" i="18"/>
  <c r="E162" i="18"/>
  <c r="E160" i="18"/>
  <c r="E159" i="18"/>
  <c r="E163" i="18"/>
  <c r="E164" i="18"/>
  <c r="S115" i="5"/>
  <c r="AA114" i="5"/>
  <c r="AB114" i="5"/>
  <c r="D92" i="18"/>
  <c r="Z92" i="5" s="1"/>
  <c r="P92" i="5" s="1"/>
  <c r="D91" i="18"/>
  <c r="Z91" i="5" s="1"/>
  <c r="P91" i="5" s="1"/>
  <c r="AG10" i="5"/>
  <c r="AG151" i="5"/>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R168" i="5"/>
  <c r="AA36" i="5"/>
  <c r="R148" i="5"/>
  <c r="AA105" i="5"/>
  <c r="R105" i="5" s="1"/>
  <c r="S85" i="5"/>
  <c r="S170" i="5"/>
  <c r="S23" i="5"/>
  <c r="S55" i="5"/>
  <c r="AA177" i="5"/>
  <c r="R177" i="5" s="1"/>
  <c r="E126" i="18"/>
  <c r="AB126" i="5" s="1"/>
  <c r="S12" i="5"/>
  <c r="S125" i="5"/>
  <c r="Q89" i="5" l="1"/>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J183" i="18" l="1"/>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S101"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48" i="5"/>
  <c r="Q174" i="5"/>
  <c r="R174" i="5"/>
  <c r="L174" i="18" s="1"/>
  <c r="H174" i="18" s="1"/>
  <c r="E89" i="18"/>
  <c r="AB89" i="5" s="1"/>
  <c r="S89" i="5" s="1"/>
  <c r="E79" i="18"/>
  <c r="AB79" i="5" s="1"/>
  <c r="Q166" i="5"/>
  <c r="L166" i="18"/>
  <c r="H166" i="18" s="1"/>
  <c r="S75" i="5"/>
  <c r="L146" i="18"/>
  <c r="H146" i="18" s="1"/>
  <c r="Q146" i="5"/>
  <c r="Q35" i="5"/>
  <c r="L35" i="18"/>
  <c r="S124" i="5"/>
  <c r="Q100" i="5" l="1"/>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80" i="18" s="1"/>
  <c r="G80" i="18"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24" i="18" s="1"/>
  <c r="G24" i="18"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153" i="18" s="1"/>
  <c r="G153" i="18"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176" i="18" s="1"/>
  <c r="G176" i="18"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39" i="18" s="1"/>
  <c r="G39" i="18" s="1"/>
  <c r="Y180" i="5"/>
  <c r="O180" i="5" s="1"/>
  <c r="K180" i="18" s="1"/>
  <c r="G180" i="18" s="1"/>
  <c r="O124" i="5"/>
  <c r="K124" i="18" s="1"/>
  <c r="G124" i="18" s="1"/>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52" i="18" s="1"/>
  <c r="G152" i="18"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I142" i="18" l="1"/>
  <c r="D144" i="18" s="1"/>
  <c r="Z144" i="5" s="1"/>
  <c r="P144" i="5" s="1"/>
  <c r="O123" i="5"/>
  <c r="K123" i="18" s="1"/>
  <c r="G123" i="18" s="1"/>
  <c r="T123" i="5"/>
  <c r="O167" i="5"/>
  <c r="K167" i="18" s="1"/>
  <c r="G167" i="18" s="1"/>
  <c r="O147" i="5"/>
  <c r="K147" i="18" s="1"/>
  <c r="G147" i="18" s="1"/>
  <c r="O140" i="5"/>
  <c r="K140" i="18" s="1"/>
  <c r="G140" i="18" s="1"/>
  <c r="I139" i="18" s="1"/>
  <c r="D140" i="18" s="1"/>
  <c r="Z140" i="5" s="1"/>
  <c r="O116" i="5"/>
  <c r="K116" i="18" s="1"/>
  <c r="G116" i="18" s="1"/>
  <c r="AC116" i="5"/>
  <c r="T116" i="5" s="1"/>
  <c r="O149" i="5"/>
  <c r="K149" i="18" s="1"/>
  <c r="G149" i="18" s="1"/>
  <c r="I148" i="18" s="1"/>
  <c r="O178" i="5"/>
  <c r="K178" i="18" s="1"/>
  <c r="G178" i="18" s="1"/>
  <c r="I177"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9" i="18"/>
  <c r="D81" i="18" s="1"/>
  <c r="Z81" i="5" s="1"/>
  <c r="P81" i="5"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K113" i="18" s="1"/>
  <c r="G113" i="18" s="1"/>
  <c r="O115" i="5"/>
  <c r="K115" i="18" s="1"/>
  <c r="G115" i="18" s="1"/>
  <c r="I114" i="18" s="1"/>
  <c r="D115" i="18" s="1"/>
  <c r="Z115" i="5" s="1"/>
  <c r="P115" i="5" s="1"/>
  <c r="Y142" i="5" l="1"/>
  <c r="N142" i="5" s="1"/>
  <c r="I82" i="18"/>
  <c r="D84" i="18" s="1"/>
  <c r="Z84" i="5" s="1"/>
  <c r="P84" i="5" s="1"/>
  <c r="D149" i="18"/>
  <c r="Z149" i="5" s="1"/>
  <c r="D150" i="18"/>
  <c r="Z150" i="5" s="1"/>
  <c r="P150"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D85" i="18"/>
  <c r="Z85" i="5" s="1"/>
  <c r="P85" i="5" s="1"/>
  <c r="D87" i="18"/>
  <c r="Z87" i="5" s="1"/>
  <c r="P87" i="5"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81" i="18"/>
  <c r="Z181" i="5" s="1"/>
  <c r="P181" i="5" s="1"/>
  <c r="D179" i="18"/>
  <c r="Z179" i="5" s="1"/>
  <c r="P179" i="5" s="1"/>
  <c r="Y50" i="4"/>
  <c r="Z50" i="4" s="1"/>
  <c r="Y50" i="21"/>
  <c r="Z50" i="21" s="1"/>
  <c r="O192" i="5" l="1"/>
  <c r="K192" i="18" s="1"/>
  <c r="G192" i="18" s="1"/>
  <c r="D83" i="18"/>
  <c r="Z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P83" i="5"/>
  <c r="K33" i="6"/>
  <c r="L17" i="6"/>
  <c r="K32" i="6"/>
  <c r="L16" i="6"/>
  <c r="K30" i="6"/>
  <c r="L14" i="6"/>
  <c r="L13" i="6"/>
  <c r="K29" i="6"/>
  <c r="L113" i="6"/>
  <c r="L134" i="6" s="1"/>
  <c r="E34" i="16" s="1"/>
  <c r="K28" i="6"/>
  <c r="L12" i="6"/>
  <c r="K34" i="6"/>
  <c r="L18" i="6"/>
  <c r="P50" i="5"/>
  <c r="Y49" i="5"/>
  <c r="P41" i="5"/>
  <c r="Y40" i="5"/>
  <c r="P178" i="5"/>
  <c r="N114" i="5"/>
  <c r="T114" i="5"/>
  <c r="O114" i="5"/>
  <c r="K114" i="18" s="1"/>
  <c r="G114" i="18" s="1"/>
  <c r="Y82" i="5" l="1"/>
  <c r="O82" i="5" s="1"/>
  <c r="K82" i="18" s="1"/>
  <c r="G82" i="18" s="1"/>
  <c r="I78" i="18" s="1"/>
  <c r="D79" i="18" s="1"/>
  <c r="Z79" i="5"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N82" i="5"/>
  <c r="O49" i="5"/>
  <c r="K49" i="18" s="1"/>
  <c r="G49" i="18" s="1"/>
  <c r="N49" i="5"/>
  <c r="O40" i="5"/>
  <c r="K40" i="18" s="1"/>
  <c r="G40" i="18" s="1"/>
  <c r="N40" i="5"/>
  <c r="O177" i="5"/>
  <c r="K177" i="18" s="1"/>
  <c r="G177" i="18" s="1"/>
  <c r="I174" i="18" s="1"/>
  <c r="N177" i="5"/>
  <c r="D11" i="18" l="1"/>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AT117"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P79" i="5"/>
  <c r="N93" i="20" l="1"/>
  <c r="I118" i="6" s="1"/>
  <c r="L118" i="6" s="1"/>
  <c r="Y10" i="5"/>
  <c r="AC10" i="5" s="1"/>
  <c r="T10" i="5" s="1"/>
  <c r="Y146" i="5"/>
  <c r="AC146" i="5" s="1"/>
  <c r="T146" i="5" s="1"/>
  <c r="V60" i="4" s="1"/>
  <c r="W60" i="4" s="1"/>
  <c r="D64" i="18"/>
  <c r="Z64" i="5" s="1"/>
  <c r="P64" i="5" s="1"/>
  <c r="D74" i="18"/>
  <c r="Z74" i="5" s="1"/>
  <c r="P74" i="5" s="1"/>
  <c r="D101" i="18"/>
  <c r="Z101" i="5" s="1"/>
  <c r="D44" i="18"/>
  <c r="Z44" i="5" s="1"/>
  <c r="P44" i="5" s="1"/>
  <c r="D36" i="18"/>
  <c r="Z36" i="5" s="1"/>
  <c r="P36" i="5" s="1"/>
  <c r="D47" i="18"/>
  <c r="Z47" i="5" s="1"/>
  <c r="P47" i="5" s="1"/>
  <c r="D104" i="18"/>
  <c r="Z104" i="5" s="1"/>
  <c r="P104" i="5" s="1"/>
  <c r="D54" i="18"/>
  <c r="Z54" i="5" s="1"/>
  <c r="P54" i="5" s="1"/>
  <c r="D59" i="18"/>
  <c r="Z59" i="5" s="1"/>
  <c r="P59" i="5" s="1"/>
  <c r="P101" i="5"/>
  <c r="Y166" i="5"/>
  <c r="P21" i="5"/>
  <c r="Y20" i="5"/>
  <c r="AC20" i="5" s="1"/>
  <c r="D139" i="18"/>
  <c r="Z139" i="5" s="1"/>
  <c r="D142" i="18"/>
  <c r="Z142" i="5" s="1"/>
  <c r="P142" i="5" s="1"/>
  <c r="Y78" i="5"/>
  <c r="AC78" i="5" s="1"/>
  <c r="P113" i="5"/>
  <c r="AT113" i="5" s="1"/>
  <c r="AC112" i="5"/>
  <c r="T112" i="5" s="1"/>
  <c r="K112" i="18" s="1"/>
  <c r="G112" i="18" s="1"/>
  <c r="P182" i="5"/>
  <c r="Y174" i="5"/>
  <c r="N174" i="5" s="1"/>
  <c r="D184" i="18"/>
  <c r="Z184" i="5" s="1"/>
  <c r="D192" i="18"/>
  <c r="Z192" i="5" s="1"/>
  <c r="P192" i="5" s="1"/>
  <c r="D188" i="18"/>
  <c r="Z188" i="5" s="1"/>
  <c r="P188" i="5" s="1"/>
  <c r="P49" i="5"/>
  <c r="O10" i="5" l="1"/>
  <c r="K10" i="18" s="1"/>
  <c r="G10" i="18" s="1"/>
  <c r="N10" i="5"/>
  <c r="O146" i="5"/>
  <c r="K146" i="18" s="1"/>
  <c r="G146" i="18" s="1"/>
  <c r="I125" i="6"/>
  <c r="L125" i="6" s="1"/>
  <c r="L116" i="6"/>
  <c r="E46" i="16" s="1"/>
  <c r="U41" i="4" s="1"/>
  <c r="Y41" i="4" s="1"/>
  <c r="X41" i="4" s="1"/>
  <c r="N146" i="5"/>
  <c r="V60" i="21"/>
  <c r="W60" i="21" s="1"/>
  <c r="Y63" i="5"/>
  <c r="N63" i="5" s="1"/>
  <c r="Y35" i="5"/>
  <c r="AC35" i="5" s="1"/>
  <c r="T35" i="5" s="1"/>
  <c r="O78" i="5"/>
  <c r="K78" i="18" s="1"/>
  <c r="G78" i="18" s="1"/>
  <c r="Z46" i="21"/>
  <c r="AW112" i="5"/>
  <c r="AU112" i="5" s="1"/>
  <c r="Y100" i="5"/>
  <c r="AC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T100" i="5"/>
  <c r="N78" i="5"/>
  <c r="S49" i="4"/>
  <c r="S49" i="21"/>
  <c r="AC174" i="5"/>
  <c r="T174" i="5" s="1"/>
  <c r="Y61" i="4" s="1"/>
  <c r="Z61" i="4" s="1"/>
  <c r="O174" i="5"/>
  <c r="K174" i="18" s="1"/>
  <c r="G174" i="18" s="1"/>
  <c r="E85" i="17" l="1"/>
  <c r="E88" i="17" s="1"/>
  <c r="E89" i="17" s="1"/>
  <c r="L123" i="6"/>
  <c r="L135" i="6" s="1"/>
  <c r="L136" i="6" s="1"/>
  <c r="O100" i="5"/>
  <c r="K100" i="18" s="1"/>
  <c r="G100" i="18" s="1"/>
  <c r="U41" i="21"/>
  <c r="Y41" i="21" s="1"/>
  <c r="X41" i="21" s="1"/>
  <c r="E59" i="16"/>
  <c r="AC63" i="5"/>
  <c r="T63" i="5" s="1"/>
  <c r="V49" i="21" s="1"/>
  <c r="W49" i="21" s="1"/>
  <c r="O63" i="5"/>
  <c r="K63" i="18" s="1"/>
  <c r="G63" i="18" s="1"/>
  <c r="N100" i="5"/>
  <c r="N35" i="5"/>
  <c r="O35" i="5"/>
  <c r="K35" i="18" s="1"/>
  <c r="G35" i="18" s="1"/>
  <c r="O48" i="5"/>
  <c r="K48" i="18" s="1"/>
  <c r="G48" i="18" s="1"/>
  <c r="N48" i="5"/>
  <c r="Z9" i="2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V49" i="4" l="1"/>
  <c r="W49" i="4" s="1"/>
  <c r="I62" i="18"/>
  <c r="D78" i="18" s="1"/>
  <c r="Z78" i="5" s="1"/>
  <c r="P78" i="5" s="1"/>
  <c r="AT78" i="5" s="1"/>
  <c r="E47" i="16"/>
  <c r="E52" i="16" s="1"/>
  <c r="T183" i="5"/>
  <c r="Y62" i="21" s="1"/>
  <c r="Z62" i="21" s="1"/>
  <c r="I9" i="18"/>
  <c r="D35" i="18" s="1"/>
  <c r="Z35" i="5" s="1"/>
  <c r="P35" i="5" s="1"/>
  <c r="AT35" i="5" s="1"/>
  <c r="S63" i="4"/>
  <c r="T63" i="4" s="1"/>
  <c r="S63" i="21"/>
  <c r="T63" i="21" s="1"/>
  <c r="D100" i="18" l="1"/>
  <c r="Z100" i="5" s="1"/>
  <c r="P100" i="5" s="1"/>
  <c r="AT100" i="5" s="1"/>
  <c r="D63" i="18"/>
  <c r="Z63" i="5" s="1"/>
  <c r="P63" i="5" s="1"/>
  <c r="AT63" i="5" s="1"/>
  <c r="AW62" i="5" s="1"/>
  <c r="AU62" i="5" s="1"/>
  <c r="V42" i="4"/>
  <c r="Y42" i="4" s="1"/>
  <c r="X42" i="4" s="1"/>
  <c r="T36" i="4" s="1"/>
  <c r="S36" i="4" s="1"/>
  <c r="S37" i="4" s="1"/>
  <c r="V42" i="21"/>
  <c r="Y42" i="21" s="1"/>
  <c r="X42" i="21" s="1"/>
  <c r="T36" i="21" s="1"/>
  <c r="S36" i="21" s="1"/>
  <c r="S37" i="21" s="1"/>
  <c r="Y62" i="4"/>
  <c r="Z62" i="4" s="1"/>
  <c r="D48" i="18"/>
  <c r="Z48" i="5" s="1"/>
  <c r="P48" i="5" s="1"/>
  <c r="AT48" i="5" s="1"/>
  <c r="D10" i="18"/>
  <c r="Z10" i="5" s="1"/>
  <c r="P10" i="5" s="1"/>
  <c r="AT10" i="5" s="1"/>
  <c r="D20" i="18"/>
  <c r="Z20" i="5" s="1"/>
  <c r="P20" i="5" s="1"/>
  <c r="AT20" i="5" s="1"/>
  <c r="W43" i="21"/>
  <c r="Y43" i="21" s="1"/>
  <c r="X43" i="21" s="1"/>
  <c r="J16" i="14"/>
  <c r="K16" i="14" s="1"/>
  <c r="L16" i="14" s="1"/>
  <c r="O15" i="14" s="1"/>
  <c r="F7" i="14" s="1"/>
  <c r="W43" i="4"/>
  <c r="Y43" i="4" s="1"/>
  <c r="X43" i="4" s="1"/>
  <c r="AC62" i="5" l="1"/>
  <c r="T62" i="5" s="1"/>
  <c r="V46" i="4" s="1"/>
  <c r="Z8" i="4" s="1"/>
  <c r="AC9" i="5"/>
  <c r="T9" i="5" s="1"/>
  <c r="S46" i="4" s="1"/>
  <c r="Z13" i="4" s="1"/>
  <c r="AW9" i="5"/>
  <c r="AU9" i="5" s="1"/>
  <c r="F11" i="14"/>
  <c r="V173" i="5"/>
  <c r="F9" i="14"/>
  <c r="F10" i="14"/>
  <c r="F8" i="14"/>
  <c r="F12" i="14"/>
  <c r="J5" i="14"/>
  <c r="T46" i="4"/>
  <c r="K43" i="4" l="1"/>
  <c r="K62" i="18"/>
  <c r="G62" i="18" s="1"/>
  <c r="W46" i="21"/>
  <c r="W46" i="4"/>
  <c r="V46" i="21"/>
  <c r="Z8" i="21" s="1"/>
  <c r="T46" i="21"/>
  <c r="AW173" i="5"/>
  <c r="AS173" i="5" s="1"/>
  <c r="Y173" i="5"/>
  <c r="K9" i="18"/>
  <c r="G9" i="18" s="1"/>
  <c r="S46" i="21"/>
  <c r="Z13" i="21" s="1"/>
  <c r="G43" i="4"/>
  <c r="I8" i="18" l="1"/>
  <c r="D112" i="18" s="1"/>
  <c r="Z112" i="5" s="1"/>
  <c r="P112" i="5" s="1"/>
  <c r="AT112" i="5" s="1"/>
  <c r="K43" i="21"/>
  <c r="O173" i="5"/>
  <c r="K173" i="18" s="1"/>
  <c r="G173" i="18" s="1"/>
  <c r="I172" i="18" s="1"/>
  <c r="D183" i="18" s="1"/>
  <c r="Z183" i="5" s="1"/>
  <c r="P183" i="5" s="1"/>
  <c r="AT183" i="5" s="1"/>
  <c r="AC173" i="5"/>
  <c r="T173" i="5" s="1"/>
  <c r="G43" i="21"/>
  <c r="D9" i="18" l="1"/>
  <c r="Z9" i="5" s="1"/>
  <c r="P9" i="5" s="1"/>
  <c r="AT9" i="5" s="1"/>
  <c r="D62" i="18"/>
  <c r="D174" i="18"/>
  <c r="Z174" i="5" s="1"/>
  <c r="P174" i="5" s="1"/>
  <c r="AT174" i="5" s="1"/>
  <c r="D173" i="18"/>
  <c r="Z173" i="5" s="1"/>
  <c r="P173" i="5" s="1"/>
  <c r="AT173" i="5" s="1"/>
  <c r="Y60" i="21"/>
  <c r="Z60" i="21" s="1"/>
  <c r="Y60" i="4"/>
  <c r="Z60" i="4" s="1"/>
  <c r="Z62" i="5"/>
  <c r="P62" i="5" s="1"/>
  <c r="AT62" i="5" s="1"/>
  <c r="AW172" i="5" l="1"/>
  <c r="AU172" i="5" s="1"/>
  <c r="AC172" i="5"/>
  <c r="T172" i="5" s="1"/>
  <c r="AW8" i="5"/>
  <c r="AU8" i="5" s="1"/>
  <c r="AC8" i="5"/>
  <c r="T8" i="5" s="1"/>
  <c r="N41" i="21" s="1"/>
  <c r="O165" i="5"/>
  <c r="I151" i="18" l="1"/>
  <c r="K165" i="18"/>
  <c r="G165" i="18" s="1"/>
  <c r="D165" i="18"/>
  <c r="Z165" i="5" s="1"/>
  <c r="P165" i="5" s="1"/>
  <c r="D158" i="18"/>
  <c r="Z158" i="5" s="1"/>
  <c r="P158" i="5" s="1"/>
  <c r="Z57" i="21"/>
  <c r="Z57" i="4"/>
  <c r="Y57" i="4"/>
  <c r="K172" i="18"/>
  <c r="G172" i="18" s="1"/>
  <c r="Y57" i="21"/>
  <c r="D157" i="18"/>
  <c r="Z157" i="5" s="1"/>
  <c r="S7" i="21"/>
  <c r="S9" i="21" s="1"/>
  <c r="T25" i="21" s="1"/>
  <c r="U27" i="21" s="1"/>
  <c r="S7" i="4"/>
  <c r="S9" i="4" s="1"/>
  <c r="T25" i="4" s="1"/>
  <c r="T27" i="4" s="1"/>
  <c r="N41" i="4"/>
  <c r="D155" i="18"/>
  <c r="Z155" i="5" s="1"/>
  <c r="P155" i="5" s="1"/>
  <c r="D154" i="18"/>
  <c r="Z154" i="5" s="1"/>
  <c r="P154" i="5" s="1"/>
  <c r="D156" i="18"/>
  <c r="Z156" i="5" s="1"/>
  <c r="P156" i="5" s="1"/>
  <c r="D152" i="18"/>
  <c r="Z152" i="5" s="1"/>
  <c r="D153" i="18"/>
  <c r="Z153" i="5" s="1"/>
  <c r="P153" i="5" s="1"/>
  <c r="Z10" i="21" l="1"/>
  <c r="O54" i="21"/>
  <c r="Z10" i="4"/>
  <c r="O54" i="4"/>
  <c r="P157" i="5"/>
  <c r="Y151" i="5"/>
  <c r="AC151" i="5" s="1"/>
  <c r="T27" i="21"/>
  <c r="U27" i="4"/>
  <c r="P152" i="5"/>
  <c r="O151" i="5" l="1"/>
  <c r="K151" i="18" s="1"/>
  <c r="G151" i="18" s="1"/>
  <c r="I145" i="18" s="1"/>
  <c r="N151" i="5"/>
  <c r="T151" i="5"/>
  <c r="D146" i="18" l="1"/>
  <c r="Z146" i="5" s="1"/>
  <c r="D151" i="18"/>
  <c r="Z151" i="5" s="1"/>
  <c r="P151" i="5" s="1"/>
  <c r="AT151" i="5" s="1"/>
  <c r="D166" i="18"/>
  <c r="Z166" i="5" s="1"/>
  <c r="P166" i="5" s="1"/>
  <c r="AT166" i="5" s="1"/>
  <c r="V61" i="4"/>
  <c r="W61" i="4" s="1"/>
  <c r="V61" i="21"/>
  <c r="W61" i="21" s="1"/>
  <c r="AC145" i="5" l="1"/>
  <c r="P146" i="5"/>
  <c r="AT146" i="5" s="1"/>
  <c r="AW145" i="5" s="1"/>
  <c r="AU145" i="5" s="1"/>
  <c r="T145" i="5" l="1"/>
  <c r="W57" i="21"/>
  <c r="W57" i="4"/>
  <c r="K145" i="18" l="1"/>
  <c r="G145" i="18" s="1"/>
  <c r="V57" i="21"/>
  <c r="V57" i="4"/>
  <c r="Z11" i="4" l="1"/>
  <c r="K54" i="4"/>
  <c r="Z11" i="21"/>
  <c r="K54" i="21"/>
  <c r="G76" i="20"/>
  <c r="G77" i="20" l="1"/>
  <c r="H75" i="20" l="1"/>
  <c r="H76" i="20"/>
  <c r="H74" i="20"/>
  <c r="K77" i="20"/>
  <c r="H77" i="20" l="1"/>
  <c r="J77" i="20"/>
  <c r="H37" i="20" s="1"/>
  <c r="F47" i="11" s="1"/>
  <c r="F51" i="11" s="1"/>
  <c r="F49" i="11" l="1"/>
  <c r="F50" i="11"/>
  <c r="F48" i="11"/>
  <c r="J44" i="11"/>
  <c r="V129" i="5"/>
  <c r="AW129" i="5" s="1"/>
  <c r="AS129" i="5" s="1"/>
  <c r="F52" i="11"/>
  <c r="Y129" i="5" l="1"/>
  <c r="AC129" i="5" s="1"/>
  <c r="T129" i="5" s="1"/>
  <c r="S62" i="4" s="1"/>
  <c r="T62" i="4" s="1"/>
  <c r="S62" i="21" l="1"/>
  <c r="T62" i="21" s="1"/>
  <c r="O129" i="5"/>
  <c r="K129" i="18" s="1"/>
  <c r="G129" i="18" s="1"/>
  <c r="I122" i="18" s="1"/>
  <c r="D124" i="18" s="1"/>
  <c r="Z124" i="5" s="1"/>
  <c r="P124" i="5" s="1"/>
  <c r="AT124" i="5" s="1"/>
  <c r="D129" i="18" l="1"/>
  <c r="Z129" i="5" s="1"/>
  <c r="P129" i="5" s="1"/>
  <c r="AT129" i="5" s="1"/>
  <c r="D123" i="18"/>
  <c r="Z123" i="5" s="1"/>
  <c r="P123" i="5" s="1"/>
  <c r="AT123" i="5" s="1"/>
  <c r="D138" i="18"/>
  <c r="Z138" i="5" s="1"/>
  <c r="P138" i="5" s="1"/>
  <c r="AT138" i="5" s="1"/>
  <c r="AW122" i="5" l="1"/>
  <c r="AU122" i="5" s="1"/>
  <c r="AC122" i="5"/>
  <c r="T57" i="21" s="1"/>
  <c r="T57" i="4" l="1"/>
  <c r="T122" i="5"/>
  <c r="K122" i="18" s="1"/>
  <c r="G122" i="18" s="1"/>
  <c r="I121" i="18" s="1"/>
  <c r="D145" i="18" s="1"/>
  <c r="Z145" i="5" s="1"/>
  <c r="P145" i="5" s="1"/>
  <c r="AT145" i="5" s="1"/>
  <c r="S57" i="21" l="1"/>
  <c r="G54" i="21" s="1"/>
  <c r="D122" i="18"/>
  <c r="Z122" i="5" s="1"/>
  <c r="S57" i="4"/>
  <c r="G54" i="4" s="1"/>
  <c r="D172" i="18"/>
  <c r="Z172" i="5" s="1"/>
  <c r="P172" i="5" s="1"/>
  <c r="AT172" i="5" s="1"/>
  <c r="AC121" i="5" l="1"/>
  <c r="T121" i="5" s="1"/>
  <c r="Z12" i="4"/>
  <c r="Z12" i="21"/>
  <c r="P122" i="5"/>
  <c r="AT122" i="5" s="1"/>
  <c r="AW121" i="5" s="1"/>
  <c r="AU121" i="5" s="1"/>
  <c r="S8" i="21" l="1"/>
  <c r="S10" i="21" s="1"/>
  <c r="T24" i="21" s="1"/>
  <c r="S8" i="4"/>
  <c r="S10" i="4" s="1"/>
  <c r="T24" i="4" s="1"/>
  <c r="K121" i="18"/>
  <c r="G121" i="18" s="1"/>
  <c r="N52" i="4"/>
  <c r="N52" i="21"/>
  <c r="S11" i="21"/>
  <c r="S11" i="4" l="1"/>
  <c r="S12" i="4" s="1"/>
  <c r="S12" i="21"/>
  <c r="C25" i="21" s="1"/>
  <c r="T26" i="21"/>
  <c r="S26" i="21"/>
  <c r="T26" i="4"/>
  <c r="S26" i="4"/>
  <c r="C25" i="4" l="1"/>
  <c r="L8" i="25"/>
  <c r="S13" i="21"/>
  <c r="S14" i="21" s="1"/>
  <c r="S13" i="4"/>
  <c r="S14" i="4" s="1"/>
  <c r="W2" i="25" l="1"/>
  <c r="X2" i="25" s="1"/>
  <c r="M8" i="25"/>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4.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5.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<sst xmlns="http://schemas.openxmlformats.org/spreadsheetml/2006/main" count="8448" uniqueCount="3742">
  <si>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</si>
  <si>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</si>
  <si>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</si>
  <si>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</si>
  <si>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</si>
  <si>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</si>
  <si>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</si>
  <si>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</si>
  <si>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</si>
  <si>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</si>
  <si>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</si>
  <si>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</si>
  <si>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</si>
  <si>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</si>
  <si>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</si>
  <si>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</si>
  <si>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</si>
  <si>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</si>
  <si>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</si>
  <si>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</si>
  <si>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</si>
  <si>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</si>
  <si>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</si>
  <si>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</si>
  <si>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</si>
  <si>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</si>
  <si>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</si>
  <si>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</si>
  <si>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</si>
  <si>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</si>
  <si>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</si>
  <si>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</si>
  <si>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</si>
  <si>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</si>
  <si>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</si>
  <si>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</si>
  <si>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</si>
  <si>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</si>
  <si>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</si>
  <si>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</si>
  <si>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</si>
  <si>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</si>
  <si>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</si>
  <si>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</si>
  <si>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</si>
  <si>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</si>
  <si>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</si>
  <si>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</si>
  <si>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</si>
  <si>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</si>
  <si>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</si>
  <si>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</si>
  <si>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</si>
  <si>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</si>
  <si>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</si>
  <si>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</si>
  <si>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</si>
  <si>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</si>
  <si>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</si>
  <si>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</si>
  <si>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</si>
  <si>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</si>
  <si>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</si>
  <si>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</si>
  <si>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</si>
  <si>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</si>
  <si>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</si>
  <si>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</si>
  <si>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</si>
  <si>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</si>
  <si>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</si>
  <si>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</si>
  <si>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</si>
  <si>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</si>
  <si>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</si>
  <si>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</si>
  <si>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</si>
  <si>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</si>
  <si>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</si>
  <si>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</si>
  <si>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</si>
  <si>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</si>
  <si>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</si>
  <si>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</si>
  <si>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</si>
  <si>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</si>
  <si>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</si>
  <si>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</si>
  <si>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</si>
  <si>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</si>
  <si>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</si>
  <si>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</si>
  <si>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</si>
  <si>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</si>
  <si>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</si>
  <si>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</si>
  <si>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</si>
  <si>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</si>
  <si>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</si>
  <si>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</si>
  <si>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</si>
  <si>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</si>
  <si>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</si>
  <si>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</si>
  <si>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</si>
  <si>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</si>
  <si>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</si>
  <si>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</si>
  <si>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</si>
  <si>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</si>
  <si>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</si>
  <si>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</si>
  <si>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</si>
  <si>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</si>
  <si>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</si>
  <si>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</si>
  <si>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</si>
  <si>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</si>
  <si>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</si>
  <si>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</si>
  <si>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</si>
  <si>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</si>
  <si>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</si>
  <si>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</si>
  <si>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</si>
  <si>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</si>
  <si>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</si>
  <si>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</si>
  <si>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</si>
  <si>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</si>
  <si>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</si>
  <si>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</si>
  <si>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</si>
  <si>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</si>
  <si>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</si>
  <si>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</si>
  <si>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</si>
  <si>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</si>
  <si>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</si>
  <si>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</si>
  <si>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</si>
  <si>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</si>
  <si>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</si>
  <si>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</si>
  <si>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</si>
  <si>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</si>
  <si>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</si>
  <si>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</si>
  <si>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</si>
  <si>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</si>
  <si>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</si>
  <si>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</si>
  <si>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</si>
  <si>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</si>
  <si>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</si>
  <si>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</si>
  <si>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</si>
  <si>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</si>
  <si>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</si>
  <si>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</si>
  <si>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</si>
  <si>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</si>
  <si>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</si>
  <si>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</si>
  <si>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</si>
  <si>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</si>
  <si>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</si>
  <si>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</si>
  <si>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</si>
  <si>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</si>
  <si>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</si>
  <si>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</si>
  <si>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</si>
  <si>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</si>
  <si>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</si>
  <si>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</si>
  <si>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</si>
  <si>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</si>
  <si>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</si>
  <si>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</si>
  <si>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</si>
  <si>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</si>
  <si>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</si>
  <si>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</si>
  <si>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</si>
  <si>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</si>
  <si>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</si>
  <si>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</si>
  <si>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</si>
  <si>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</si>
  <si>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</si>
  <si>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</si>
  <si>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</si>
  <si>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</si>
  <si>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</si>
  <si>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</si>
  <si>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</si>
  <si>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</si>
  <si>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</si>
  <si>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</si>
  <si>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</si>
  <si>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</si>
  <si>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</si>
  <si>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</si>
  <si>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</si>
  <si>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</si>
  <si>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</si>
  <si>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</si>
  <si>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</si>
  <si>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</si>
  <si>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</si>
  <si>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</si>
  <si>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</si>
  <si>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</si>
  <si>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</si>
  <si>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</si>
  <si>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</si>
  <si>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</si>
  <si>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</si>
  <si>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</si>
  <si>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</si>
  <si>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</si>
  <si>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</si>
  <si>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</si>
  <si>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</si>
  <si>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</si>
  <si>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</si>
  <si>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</si>
  <si>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</si>
  <si>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</si>
  <si>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</si>
  <si>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</si>
  <si>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</si>
  <si>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</si>
  <si>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</si>
  <si>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</si>
  <si>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</si>
  <si>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</si>
  <si>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</si>
  <si>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</si>
  <si>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</si>
  <si>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</si>
  <si>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</si>
  <si>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</si>
  <si>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</si>
  <si>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</si>
  <si>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</si>
  <si>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</si>
  <si>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</si>
  <si>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</si>
  <si>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</si>
  <si>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</si>
  <si>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</si>
  <si>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</si>
  <si>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</si>
  <si>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</si>
  <si>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</si>
  <si>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</si>
  <si>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</si>
  <si>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</si>
  <si>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</si>
  <si>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</si>
  <si>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</si>
  <si>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</si>
  <si>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</si>
  <si>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</si>
  <si>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</si>
  <si>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</si>
  <si>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</si>
  <si>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</si>
  <si>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</si>
  <si>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</si>
  <si>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</si>
  <si>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</si>
  <si>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</si>
  <si>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</si>
  <si>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</si>
  <si>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</si>
  <si>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</si>
  <si>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</si>
  <si>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</si>
  <si>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</si>
  <si>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</si>
  <si>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</si>
  <si>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</si>
  <si>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</si>
  <si>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</si>
  <si>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</si>
  <si>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</si>
  <si>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</si>
  <si>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</si>
  <si>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</si>
  <si>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</si>
  <si>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</si>
  <si>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</si>
  <si>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</si>
  <si>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</si>
  <si>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</si>
  <si>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</si>
  <si>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</si>
  <si>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</si>
  <si>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</si>
  <si>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</si>
  <si>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</si>
  <si>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</si>
  <si>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</si>
  <si>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</si>
  <si>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</si>
  <si>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</si>
  <si>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</si>
  <si>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</si>
  <si>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</si>
  <si>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</si>
  <si>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</si>
  <si>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</si>
  <si>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</si>
  <si>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</si>
  <si>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</si>
  <si>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</si>
  <si>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</si>
  <si>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</si>
  <si>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</si>
  <si>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</si>
  <si>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</si>
  <si>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</si>
  <si>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</si>
  <si>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</si>
  <si>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</si>
  <si>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</si>
  <si>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</si>
  <si>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</si>
  <si>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</si>
  <si>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</si>
  <si>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</si>
  <si>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</si>
  <si>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</si>
  <si>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</si>
  <si>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</si>
  <si>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</si>
  <si>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</si>
  <si>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</si>
  <si>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</si>
  <si>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</si>
  <si>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</si>
  <si>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</si>
  <si>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</si>
  <si>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</si>
  <si>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</si>
  <si>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</si>
  <si>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</si>
  <si>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</si>
  <si>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</si>
  <si>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</si>
  <si>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</si>
  <si>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</si>
  <si>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</si>
  <si>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</si>
  <si>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</si>
  <si>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</si>
  <si>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</si>
  <si>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</si>
  <si>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</si>
  <si>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</si>
  <si>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</si>
  <si>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</si>
  <si>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</si>
  <si>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</si>
  <si>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</si>
  <si>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</si>
  <si>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</si>
  <si>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</si>
  <si>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</si>
  <si>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</si>
  <si>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</si>
  <si>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</si>
  <si>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</si>
  <si>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</si>
  <si>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</si>
  <si>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</si>
  <si>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</si>
  <si>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</si>
  <si>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</si>
  <si>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</si>
  <si>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</si>
  <si>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</si>
  <si>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</si>
  <si>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</si>
  <si>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</si>
  <si>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</si>
  <si>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</si>
  <si>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</si>
  <si>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</si>
  <si>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</si>
  <si>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</si>
  <si>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</si>
  <si>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</si>
  <si>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</si>
  <si>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</si>
  <si>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</si>
  <si>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</si>
  <si>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</si>
  <si>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</si>
  <si>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</si>
  <si>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</si>
  <si>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</si>
  <si>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</si>
  <si>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</si>
  <si>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</si>
  <si>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</si>
  <si>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</si>
  <si>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</si>
  <si>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</si>
  <si>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</si>
  <si>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</si>
  <si>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</si>
  <si>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</si>
  <si>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</si>
  <si>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</si>
  <si>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</si>
  <si>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</si>
  <si>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</si>
  <si>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</si>
  <si>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</si>
  <si>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</si>
  <si>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</si>
  <si>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</si>
  <si>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</si>
  <si>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</si>
  <si>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</si>
  <si>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</si>
  <si>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</si>
  <si>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</si>
  <si>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</si>
  <si>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</si>
  <si>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</si>
  <si>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</si>
  <si>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</si>
  <si>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</si>
  <si>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</si>
  <si>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</si>
  <si>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</si>
  <si>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</si>
  <si>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</si>
  <si>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</si>
  <si>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</si>
  <si>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</si>
  <si>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</si>
  <si>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</si>
  <si>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</si>
  <si>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</si>
  <si>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</si>
  <si>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</si>
  <si>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</si>
  <si>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</si>
  <si>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</si>
  <si>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</si>
  <si>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</si>
  <si>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</si>
  <si>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</si>
  <si>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</si>
  <si>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</si>
  <si>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</si>
  <si>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</si>
  <si>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</si>
  <si>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</si>
  <si>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</si>
  <si>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</si>
  <si>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</si>
  <si>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</si>
  <si>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</si>
  <si>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</si>
  <si>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</si>
  <si>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</si>
  <si>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</si>
  <si>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</si>
  <si>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</si>
  <si>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</si>
  <si>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</si>
  <si>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</si>
  <si>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</si>
  <si>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</si>
  <si>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</si>
  <si>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</si>
  <si>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</si>
  <si>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</si>
  <si>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</si>
  <si>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</si>
  <si>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</si>
  <si>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</si>
  <si>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</si>
  <si>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</si>
  <si>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</si>
  <si>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</si>
  <si>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</si>
  <si>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</si>
  <si>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</si>
  <si>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</si>
  <si>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</si>
  <si>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</si>
  <si>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</si>
  <si>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</si>
  <si>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</si>
  <si>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</si>
  <si>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</si>
  <si>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</si>
  <si>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</si>
  <si>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</si>
  <si>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</si>
  <si>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</si>
  <si>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</si>
  <si>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</si>
  <si>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</si>
  <si>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</si>
  <si>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</si>
  <si>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</si>
  <si>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</si>
  <si>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</si>
  <si>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</si>
  <si>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</si>
  <si>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</si>
  <si>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</si>
  <si>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</si>
  <si>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</si>
  <si>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</si>
  <si>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</si>
  <si>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</si>
  <si>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</si>
  <si>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</si>
  <si>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</si>
  <si>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</si>
  <si>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</si>
  <si>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</si>
  <si>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</si>
  <si>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</si>
  <si>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</si>
  <si>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</si>
  <si>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</si>
  <si>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</si>
  <si>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</si>
  <si>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</si>
  <si>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</si>
  <si>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</si>
  <si>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</si>
  <si>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</si>
  <si>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</si>
  <si>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</si>
  <si>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</si>
  <si>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</si>
  <si>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</si>
  <si>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</si>
  <si>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</si>
  <si>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</si>
  <si>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</si>
  <si>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</si>
  <si>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</si>
  <si>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</si>
  <si>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</si>
  <si>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</si>
  <si>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</si>
  <si>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</si>
  <si>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</si>
  <si>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</si>
  <si>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</si>
  <si>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</si>
  <si>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</si>
  <si>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</si>
  <si>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</si>
  <si>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</si>
  <si>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</si>
  <si>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</si>
  <si>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</si>
  <si>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</si>
  <si>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</si>
  <si>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</si>
  <si>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</si>
  <si>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</si>
  <si>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</si>
  <si>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</si>
  <si>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</si>
  <si>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</si>
  <si>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</si>
  <si>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</si>
  <si>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</si>
  <si>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</si>
  <si>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</si>
  <si>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</si>
  <si>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</si>
  <si>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</si>
  <si>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</si>
  <si>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</si>
  <si>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</si>
  <si>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</si>
  <si>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</si>
  <si>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</si>
  <si>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</si>
  <si>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</si>
  <si>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</si>
  <si>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</si>
  <si>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</si>
  <si>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</si>
  <si>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</si>
  <si>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</si>
  <si>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</si>
  <si>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</si>
  <si>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</si>
  <si>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</si>
  <si>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</si>
  <si>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</si>
  <si>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</si>
  <si>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</si>
  <si>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</si>
  <si>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</si>
  <si>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</si>
  <si>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</si>
  <si>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</si>
  <si>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</si>
  <si>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</si>
  <si>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</si>
  <si>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</si>
  <si>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</si>
  <si>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</si>
  <si>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</si>
  <si>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</si>
  <si>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</si>
  <si>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</si>
  <si>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</si>
  <si>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</si>
  <si>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</si>
  <si>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</si>
  <si>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</si>
  <si>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</si>
  <si>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</si>
  <si>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</si>
  <si>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</si>
  <si>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</si>
  <si>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</si>
  <si>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</si>
  <si>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</si>
  <si>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</si>
  <si>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</si>
  <si>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</si>
  <si>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</si>
  <si>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</si>
  <si>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</si>
  <si>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</si>
  <si>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</si>
  <si>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</si>
  <si>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</si>
  <si>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</si>
  <si>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</si>
  <si>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</si>
  <si>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</si>
  <si>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</si>
  <si>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</si>
  <si>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</si>
  <si>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</si>
  <si>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</si>
  <si>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</si>
  <si>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</si>
  <si>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</si>
  <si>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</si>
  <si>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</si>
  <si>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</si>
  <si>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</si>
  <si>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</si>
  <si>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</si>
  <si>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</si>
  <si>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</si>
  <si>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</si>
  <si>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</si>
  <si>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</si>
  <si>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</si>
  <si>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</si>
  <si>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</si>
  <si>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</si>
  <si>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</si>
  <si>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</si>
  <si>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</si>
  <si>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</si>
  <si>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</si>
  <si>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</si>
  <si>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</si>
  <si>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</si>
  <si>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</si>
  <si>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</si>
  <si>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</si>
  <si>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</si>
  <si>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</si>
  <si>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</si>
  <si>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</si>
  <si>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</si>
  <si>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</si>
  <si>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</si>
  <si>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</si>
  <si>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</si>
  <si>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</si>
  <si>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</si>
  <si>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</si>
  <si>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</si>
  <si>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</si>
  <si>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</si>
  <si>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</si>
  <si>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</si>
  <si>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</si>
  <si>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</si>
  <si>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</si>
  <si>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</si>
  <si>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</si>
  <si>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</si>
  <si>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</si>
  <si>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</si>
  <si>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</si>
  <si>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</si>
  <si>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</si>
  <si>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</si>
  <si>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</si>
  <si>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</si>
  <si>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</si>
  <si>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</si>
  <si>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</si>
  <si>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</si>
  <si>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</si>
  <si>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</si>
  <si>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</si>
  <si>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</si>
  <si>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</si>
  <si>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</si>
  <si>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</si>
  <si>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</si>
  <si>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</si>
  <si>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</si>
  <si>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</si>
  <si>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</si>
  <si>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</si>
  <si>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</si>
  <si>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</si>
  <si>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</si>
  <si>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</si>
  <si>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</si>
  <si>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</si>
  <si>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</si>
  <si>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</si>
  <si>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</si>
  <si>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</si>
  <si>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</si>
  <si>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</si>
  <si>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</si>
  <si>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</si>
  <si>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</si>
  <si>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</si>
  <si>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</si>
  <si>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</si>
  <si>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</si>
  <si>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</si>
  <si>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</si>
  <si>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</si>
  <si>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</si>
  <si>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</si>
  <si>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</si>
  <si>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</si>
  <si>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</si>
  <si>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</si>
  <si>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</si>
  <si>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</si>
  <si>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</si>
  <si>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</si>
  <si>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</si>
  <si>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</si>
  <si>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</si>
  <si>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</si>
  <si>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</si>
  <si>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</si>
  <si>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</si>
  <si>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</si>
  <si>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</si>
  <si>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</si>
  <si>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</si>
  <si>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</si>
  <si>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</si>
  <si>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</si>
  <si>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</si>
  <si>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</si>
  <si>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</si>
  <si>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</si>
  <si>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</si>
  <si>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</si>
  <si>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</si>
  <si>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</si>
  <si>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</si>
  <si>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</si>
  <si>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</si>
  <si>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</si>
  <si>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</si>
  <si>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</si>
  <si>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</si>
  <si>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</si>
  <si>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</si>
  <si>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</si>
  <si>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</si>
  <si>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</si>
  <si>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</si>
  <si>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</si>
  <si>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</si>
  <si>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</si>
  <si>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</si>
  <si>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</si>
  <si>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</si>
  <si>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</si>
  <si>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</si>
  <si>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</si>
  <si>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</si>
  <si>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</si>
  <si>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</si>
  <si>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</si>
  <si>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</si>
  <si>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</si>
  <si>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</si>
  <si>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</si>
  <si>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</si>
  <si>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</si>
  <si>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</si>
  <si>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</si>
  <si>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</si>
  <si>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</si>
  <si>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</si>
  <si>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</si>
  <si>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</si>
  <si>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</si>
  <si>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</si>
  <si>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</si>
  <si>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</si>
  <si>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</si>
  <si>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</si>
  <si>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</si>
  <si>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</si>
  <si>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</si>
  <si>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</si>
  <si>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</si>
  <si>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</si>
  <si>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</si>
  <si>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</si>
  <si>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</si>
  <si>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</si>
  <si>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</si>
  <si>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</si>
  <si>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</si>
  <si>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</si>
  <si>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</si>
  <si>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</si>
  <si>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</si>
  <si>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</si>
  <si>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</si>
  <si>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</si>
  <si>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</si>
  <si>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</si>
  <si>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</si>
  <si>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</si>
  <si>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</si>
  <si>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</si>
  <si>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</si>
  <si>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</si>
  <si>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</si>
  <si>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</si>
  <si>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</si>
  <si>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</si>
  <si>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</si>
  <si>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</si>
  <si>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</si>
  <si>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</si>
  <si>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</si>
  <si>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</si>
  <si>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</si>
  <si>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</si>
  <si>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</si>
  <si>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</si>
  <si>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</si>
  <si>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</si>
  <si>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</si>
  <si>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</si>
  <si>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</si>
  <si>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</si>
  <si>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</si>
  <si>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</si>
  <si>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</si>
  <si>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</si>
  <si>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</si>
  <si>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</si>
  <si>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</si>
  <si>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</si>
  <si>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</si>
  <si>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</si>
  <si>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</si>
  <si>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</si>
  <si>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</si>
  <si>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</si>
  <si>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</si>
  <si>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</si>
  <si>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</si>
  <si>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</si>
  <si>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</si>
  <si>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</si>
  <si>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</si>
  <si>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</si>
  <si>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</si>
  <si>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</si>
  <si>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</si>
  <si>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</si>
  <si>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</si>
  <si>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</si>
  <si>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</si>
  <si>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</si>
  <si>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</si>
  <si>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</si>
  <si>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</si>
  <si>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</si>
  <si>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</si>
  <si>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</si>
  <si>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</si>
  <si>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</si>
  <si>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</si>
  <si>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</si>
  <si>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</si>
  <si>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</si>
  <si>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</si>
  <si>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</si>
  <si>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</si>
  <si>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</si>
  <si>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</si>
  <si>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</si>
  <si>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</si>
  <si>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</si>
  <si>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</si>
  <si>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</si>
  <si>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</si>
  <si>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</si>
  <si>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</si>
  <si>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</si>
  <si>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</si>
  <si>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</si>
  <si>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</si>
  <si>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</si>
  <si>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</si>
  <si>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</si>
  <si>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</si>
  <si>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</si>
  <si>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</si>
  <si>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</si>
  <si>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</si>
  <si>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</si>
  <si>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</si>
  <si>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</si>
  <si>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</si>
  <si>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</si>
  <si>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</si>
  <si>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</si>
  <si>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</si>
  <si>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</si>
  <si>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</si>
  <si>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</si>
  <si>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</si>
  <si>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</si>
  <si>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</si>
  <si>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</si>
  <si>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</si>
  <si>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</si>
  <si>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</si>
  <si>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</si>
  <si>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</si>
  <si>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</si>
  <si>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</si>
  <si>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</si>
  <si>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</si>
  <si>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</si>
  <si>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</si>
  <si>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</si>
  <si>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</si>
  <si>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</si>
  <si>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</si>
  <si>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</si>
  <si>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</si>
  <si>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</si>
  <si>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</si>
  <si>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</si>
  <si>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</si>
  <si>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</si>
  <si>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</si>
  <si>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</si>
  <si>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</si>
  <si>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</si>
  <si>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</si>
  <si>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</si>
  <si>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</si>
  <si>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</si>
  <si>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</si>
  <si>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</si>
  <si>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</si>
  <si>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</si>
  <si>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</si>
  <si>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</si>
  <si>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</si>
  <si>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</si>
  <si>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</si>
  <si>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</si>
  <si>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</si>
  <si>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</si>
  <si>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</si>
  <si>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</si>
  <si>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</si>
  <si>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</si>
  <si>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</si>
  <si>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</si>
  <si>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</si>
  <si>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</si>
  <si>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</si>
  <si>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</si>
  <si>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</si>
  <si>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</si>
  <si>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</si>
  <si>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</si>
  <si>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</si>
  <si>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</si>
  <si>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</si>
  <si>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</si>
  <si>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</si>
  <si>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</si>
  <si>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</si>
  <si>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</si>
  <si>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</si>
  <si>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</si>
  <si>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</si>
  <si>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</si>
  <si>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</si>
  <si>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</si>
  <si>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</si>
  <si>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</si>
  <si>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</si>
  <si>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</si>
  <si>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</si>
  <si>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</si>
  <si>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</si>
  <si>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</si>
  <si>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</si>
  <si>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</si>
  <si>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</si>
  <si>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</si>
  <si>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</si>
  <si>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</si>
  <si>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</si>
  <si>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</si>
  <si>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</si>
  <si>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</si>
  <si>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</si>
  <si>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</si>
  <si>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</si>
  <si>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</si>
  <si>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</si>
  <si>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</si>
  <si>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</si>
  <si>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</si>
  <si>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</si>
  <si>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</si>
  <si>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</si>
  <si>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</si>
  <si>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</si>
  <si>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</si>
  <si>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</si>
  <si>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</si>
  <si>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</si>
  <si>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</si>
  <si>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</si>
  <si>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</si>
  <si>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</si>
  <si>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</si>
  <si>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</si>
  <si>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</si>
  <si>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</si>
  <si>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</si>
  <si>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</si>
  <si>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</si>
  <si>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</si>
  <si>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</si>
  <si>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</si>
  <si>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</si>
  <si>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</si>
  <si>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</si>
  <si>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</si>
  <si>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</si>
  <si>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</si>
  <si>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</si>
  <si>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</si>
  <si>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</si>
  <si>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</si>
  <si>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</si>
  <si>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</si>
  <si>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</si>
  <si>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</si>
  <si>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</si>
  <si>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</si>
  <si>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</si>
  <si>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</si>
  <si>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</si>
  <si>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</si>
  <si>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</si>
  <si>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</si>
  <si>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</si>
  <si>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</si>
  <si>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</si>
  <si>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</si>
  <si>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</si>
  <si>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</si>
  <si>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</si>
  <si>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</si>
  <si>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</si>
  <si>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</si>
  <si>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</si>
  <si>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</si>
  <si>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</si>
  <si>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</si>
  <si>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</si>
  <si>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</si>
  <si>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</si>
  <si>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</si>
  <si>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</si>
  <si>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</si>
  <si>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</si>
  <si>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</si>
  <si>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</si>
  <si>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</si>
  <si>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</si>
  <si>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</si>
  <si>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</si>
  <si>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</si>
  <si>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</si>
  <si>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</si>
  <si>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</si>
  <si>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</si>
  <si>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</si>
  <si>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</si>
  <si>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</si>
  <si>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</si>
  <si>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</si>
  <si>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</si>
  <si>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</si>
  <si>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</si>
  <si>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</si>
  <si>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</si>
  <si>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</si>
  <si>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</si>
  <si>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</si>
  <si>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</si>
  <si>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</si>
  <si>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</si>
  <si>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</si>
  <si>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</si>
  <si>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</si>
  <si>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</si>
  <si>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</si>
  <si>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</si>
  <si>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</si>
  <si>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</si>
  <si>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</si>
  <si>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</si>
  <si>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</si>
  <si>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</si>
  <si>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</si>
  <si>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</si>
  <si>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</si>
  <si>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</si>
  <si>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</si>
  <si>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</si>
  <si>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</si>
  <si>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</si>
  <si>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</si>
  <si>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</si>
  <si>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</si>
  <si>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</si>
  <si>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</si>
  <si>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</si>
  <si>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</si>
  <si>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</si>
  <si>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</si>
  <si>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</si>
  <si>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</si>
  <si>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</si>
  <si>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</si>
  <si>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</si>
  <si>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</si>
  <si>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</si>
  <si>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</si>
  <si>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</si>
  <si>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</si>
  <si>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</si>
  <si>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</si>
  <si>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</si>
  <si>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</si>
  <si>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</si>
  <si>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</si>
  <si>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</si>
  <si>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</si>
  <si>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</si>
  <si>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</si>
  <si>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</si>
  <si>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</si>
  <si>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</si>
  <si>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</si>
  <si>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</si>
  <si>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</si>
  <si>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</si>
  <si>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</si>
  <si>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</si>
  <si>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</si>
  <si>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</si>
  <si>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</si>
  <si>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</si>
  <si>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</si>
  <si>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</si>
  <si>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</si>
  <si>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</si>
  <si>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</si>
  <si>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</si>
  <si>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</si>
  <si>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</si>
  <si>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</si>
  <si>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</si>
  <si>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</si>
  <si>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</si>
  <si>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</si>
  <si>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</si>
  <si>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</si>
  <si>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</si>
  <si>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</si>
  <si>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</si>
  <si>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</si>
  <si>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</si>
  <si>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</si>
  <si>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</si>
  <si>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</si>
  <si>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</si>
  <si>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</si>
  <si>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</si>
  <si>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</si>
  <si>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</si>
  <si>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</si>
  <si>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</si>
  <si>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</si>
  <si>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</si>
  <si>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</si>
  <si>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</si>
  <si>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</si>
  <si>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</si>
  <si>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</si>
  <si>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</si>
  <si>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</si>
  <si>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</si>
  <si>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</si>
  <si>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</si>
  <si>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</si>
  <si>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</si>
  <si>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</si>
  <si>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</si>
  <si>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</si>
  <si>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</si>
  <si>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</si>
  <si>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</si>
  <si>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</si>
  <si>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</si>
  <si>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</si>
  <si>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</si>
  <si>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</si>
  <si>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</si>
  <si>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</si>
  <si>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</si>
  <si>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</si>
  <si>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</si>
  <si>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</si>
  <si>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</si>
  <si>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</si>
  <si>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</si>
  <si>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</si>
  <si>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</si>
  <si>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</si>
  <si>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</si>
  <si>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</si>
  <si>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</si>
  <si>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</si>
  <si>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</si>
  <si>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</si>
  <si>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</si>
  <si>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</si>
  <si>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</si>
  <si>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</si>
  <si>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</si>
  <si>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</si>
  <si>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</si>
  <si>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</si>
  <si>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</si>
  <si>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</si>
  <si>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</si>
  <si>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</si>
  <si>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</si>
  <si>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</si>
  <si>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</si>
  <si>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</si>
  <si>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</si>
  <si>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</si>
  <si>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</si>
  <si>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</si>
  <si>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</si>
  <si>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</si>
  <si>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</si>
  <si>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</si>
  <si>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</si>
  <si>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</si>
  <si>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</si>
  <si>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</si>
  <si>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</si>
  <si>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</si>
  <si>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</si>
  <si>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</si>
  <si>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</si>
  <si>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</si>
  <si>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</si>
  <si>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</si>
  <si>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</si>
  <si>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</si>
  <si>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</si>
  <si>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</si>
  <si>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</si>
  <si>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</si>
  <si>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</si>
  <si>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</si>
  <si>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</si>
  <si>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</si>
  <si>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</si>
  <si>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</si>
  <si>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</si>
  <si>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</si>
  <si>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</si>
  <si>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</si>
  <si>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</si>
  <si>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</si>
  <si>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</si>
  <si>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</si>
  <si>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</si>
  <si>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</si>
  <si>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</si>
  <si>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</si>
  <si>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</si>
  <si>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</si>
  <si>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</si>
  <si>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</si>
  <si>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</si>
  <si>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</si>
  <si>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</si>
  <si>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</si>
  <si>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</si>
  <si>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</si>
  <si>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</si>
  <si>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</si>
  <si>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</si>
  <si>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</si>
  <si>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</si>
  <si>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</si>
  <si>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</si>
  <si>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</si>
  <si>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</si>
  <si>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</si>
  <si>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</si>
  <si>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</si>
  <si>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</si>
  <si>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</si>
  <si>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</si>
  <si>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</si>
  <si>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</si>
  <si>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</si>
  <si>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</si>
  <si>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</si>
  <si>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</si>
  <si>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</si>
  <si>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</si>
  <si>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</si>
  <si>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</si>
  <si>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</si>
  <si>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</si>
  <si>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</si>
  <si>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</si>
  <si>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</si>
  <si>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</si>
  <si>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</si>
  <si>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</si>
  <si>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</si>
  <si>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</si>
  <si>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</si>
  <si>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</si>
  <si>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</si>
  <si>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</si>
  <si>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</si>
  <si>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</si>
  <si>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</si>
  <si>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</si>
  <si>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</si>
  <si>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</si>
  <si>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</si>
  <si>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</si>
  <si>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</si>
  <si>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</si>
  <si>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</si>
  <si>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</si>
  <si>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</si>
  <si>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</si>
  <si>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</si>
  <si>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</si>
  <si>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</si>
  <si>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</si>
  <si>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</si>
  <si>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</si>
  <si>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</si>
  <si>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</si>
  <si>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</si>
  <si>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</si>
  <si>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</si>
  <si>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</si>
  <si>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</si>
  <si>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</si>
  <si>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</si>
  <si>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</si>
  <si>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</si>
  <si>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</si>
  <si>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</si>
  <si>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</si>
  <si>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</si>
  <si>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</si>
  <si>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</si>
  <si>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</si>
  <si>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</si>
  <si>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</si>
  <si>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</si>
  <si>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</si>
  <si>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</si>
  <si>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</si>
  <si>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</si>
  <si>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</si>
  <si>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</si>
  <si>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</si>
  <si>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</si>
  <si>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</si>
  <si>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</si>
  <si>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</si>
  <si>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</si>
  <si>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</si>
  <si>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</si>
  <si>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</si>
  <si>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</si>
  <si>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</si>
  <si>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</si>
  <si>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</si>
  <si>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</si>
  <si>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</si>
  <si>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</si>
  <si>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</si>
  <si>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</si>
  <si>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</si>
  <si>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</si>
  <si>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</si>
  <si>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</si>
  <si>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</si>
  <si>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</si>
  <si>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</si>
  <si>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</si>
  <si>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</si>
  <si>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</si>
  <si>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</si>
  <si>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</si>
  <si>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</si>
  <si>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</si>
  <si>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</si>
  <si>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</si>
  <si>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</si>
  <si>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</si>
  <si>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</si>
  <si>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</si>
  <si>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</si>
  <si>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</si>
  <si>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</si>
  <si>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</si>
  <si>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</si>
  <si>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</si>
  <si>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</si>
  <si>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</si>
  <si>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</si>
  <si>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</si>
  <si>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</si>
  <si>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</si>
  <si>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</si>
  <si>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</si>
  <si>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</si>
  <si>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</si>
  <si>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</si>
  <si>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</si>
  <si>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</si>
  <si>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</si>
  <si>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</si>
  <si>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</si>
  <si>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</si>
  <si>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</si>
  <si>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</si>
  <si>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</si>
  <si>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</si>
  <si>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</si>
  <si>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</si>
  <si>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</si>
  <si>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</si>
  <si>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</si>
  <si>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</si>
  <si>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</si>
  <si>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</si>
  <si>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</si>
  <si>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</si>
  <si>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</si>
  <si>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</si>
  <si>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</si>
  <si>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</si>
  <si>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</si>
  <si>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</si>
  <si>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</si>
  <si>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</si>
  <si>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</si>
  <si>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</si>
  <si>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</si>
  <si>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</si>
  <si>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</si>
  <si>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</si>
  <si>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</si>
  <si>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</si>
  <si>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</si>
  <si>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</si>
  <si>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</si>
  <si>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</si>
  <si>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</si>
  <si>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</si>
  <si>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</si>
  <si>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</si>
  <si>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</si>
  <si>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</si>
  <si>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</si>
  <si>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</si>
  <si>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</si>
  <si>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</si>
  <si>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</si>
  <si>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</si>
  <si>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</si>
  <si>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</si>
  <si>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</si>
  <si>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</si>
  <si>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</si>
  <si>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</si>
  <si>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</si>
  <si>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</si>
  <si>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</si>
  <si>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</si>
  <si>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</si>
  <si>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</si>
  <si>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</si>
  <si>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</si>
  <si>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</si>
  <si>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</si>
  <si>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</si>
  <si>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</si>
  <si>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</si>
  <si>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</si>
  <si>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</si>
  <si>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</si>
  <si>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</si>
  <si>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</si>
  <si>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</si>
  <si>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</si>
  <si>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</si>
  <si>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</si>
  <si>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</si>
  <si>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</si>
  <si>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</si>
  <si>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</si>
  <si>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</si>
  <si>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</si>
  <si>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</si>
  <si>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</si>
  <si>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</si>
  <si>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</si>
  <si>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</si>
  <si>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</si>
  <si>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</si>
  <si>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</si>
  <si>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</si>
  <si>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</si>
  <si>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</si>
  <si>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</si>
  <si>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</si>
  <si>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</si>
  <si>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</si>
  <si>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</si>
  <si>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</si>
  <si>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</si>
  <si>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</si>
  <si>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</si>
  <si>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</si>
  <si>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</si>
  <si>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</si>
  <si>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</si>
  <si>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</si>
  <si>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</si>
  <si>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</si>
  <si>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</si>
  <si>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</si>
  <si>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</si>
  <si>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</si>
  <si>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</si>
  <si>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</si>
  <si>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</si>
  <si>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</si>
  <si>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</si>
  <si>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</si>
  <si>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</si>
  <si>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</si>
  <si>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</si>
  <si>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</si>
  <si>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</si>
  <si>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</si>
  <si>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</si>
  <si>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</si>
  <si>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</si>
  <si>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</si>
  <si>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</si>
  <si>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</si>
  <si>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</si>
  <si>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</si>
  <si>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</si>
  <si>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</si>
  <si>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</si>
  <si>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</si>
  <si>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</si>
  <si>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</si>
  <si>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</si>
  <si>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</si>
  <si>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</si>
  <si>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</si>
  <si>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</si>
  <si>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</si>
  <si>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</si>
  <si>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</si>
  <si>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</si>
  <si>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</si>
  <si>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</si>
  <si>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</si>
  <si>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</si>
  <si>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</si>
  <si>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</si>
  <si>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</si>
  <si>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</si>
  <si>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</si>
  <si>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</si>
  <si>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</si>
  <si>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</si>
  <si>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</si>
  <si>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</si>
  <si>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</si>
  <si>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</si>
  <si>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</si>
  <si>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</si>
  <si>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</si>
  <si>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</si>
  <si>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</si>
  <si>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</si>
  <si>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</si>
  <si>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</si>
  <si>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</si>
  <si>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</si>
  <si>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</si>
  <si>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</si>
  <si>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</si>
  <si>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</si>
  <si>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</si>
  <si>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</si>
  <si>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</si>
  <si>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</si>
  <si>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</si>
  <si>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</si>
  <si>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</si>
  <si>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</si>
  <si>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</si>
  <si>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</si>
  <si>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</si>
  <si>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</si>
  <si>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</si>
  <si>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</si>
  <si>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</si>
  <si>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</si>
  <si>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</si>
  <si>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</si>
  <si>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</si>
  <si>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</si>
  <si>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</si>
  <si>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</si>
  <si>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</si>
  <si>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</si>
  <si>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</si>
  <si>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</si>
  <si>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</si>
  <si>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</si>
  <si>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</si>
  <si>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</si>
  <si>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</si>
  <si>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</si>
  <si>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</si>
  <si>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</si>
  <si>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</si>
  <si>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</si>
  <si>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</si>
  <si>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</si>
  <si>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</si>
  <si>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</si>
  <si>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</si>
  <si>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</si>
  <si>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</si>
  <si>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</si>
  <si>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</si>
  <si>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</si>
  <si>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</si>
  <si>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</si>
  <si>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</si>
  <si>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</si>
  <si>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</si>
  <si>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</si>
  <si>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</si>
  <si>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</si>
  <si>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</si>
  <si>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</si>
  <si>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</si>
  <si>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</si>
  <si>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</si>
  <si>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</si>
  <si>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</si>
  <si>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</si>
  <si>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</si>
  <si>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</si>
  <si>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</si>
  <si>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</si>
  <si>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</si>
  <si>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</si>
  <si>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</si>
  <si>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</si>
  <si>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</si>
  <si>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</si>
  <si>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</si>
  <si>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</si>
  <si>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</si>
  <si>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</si>
  <si>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</si>
  <si>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</si>
  <si>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</si>
  <si>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</si>
  <si>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</si>
  <si>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</si>
  <si>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</si>
  <si>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</si>
  <si>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</si>
  <si>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</si>
  <si>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</si>
  <si>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</si>
  <si>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</si>
  <si>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</si>
  <si>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</si>
  <si>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</si>
  <si>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</si>
  <si>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</si>
  <si>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</si>
  <si>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</si>
  <si>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</si>
  <si>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</si>
  <si>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</si>
  <si>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</si>
  <si>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</si>
  <si>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</si>
  <si>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</si>
  <si>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</si>
  <si>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</si>
  <si>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</si>
  <si>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</si>
  <si>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</si>
  <si>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</si>
  <si>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</si>
  <si>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</si>
  <si>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</si>
  <si>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</si>
  <si>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</si>
  <si>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</si>
  <si>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</si>
  <si>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</si>
  <si>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</si>
  <si>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</si>
  <si>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</si>
  <si>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</si>
  <si>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</si>
  <si>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</si>
  <si>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</si>
  <si>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</si>
  <si>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</si>
  <si>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</si>
  <si>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</si>
  <si>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</si>
  <si>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</si>
  <si>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</si>
  <si>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</si>
  <si>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</si>
  <si>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</si>
  <si>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</si>
  <si>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</si>
  <si>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</si>
  <si>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</si>
  <si>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</si>
  <si>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</si>
  <si>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</si>
  <si>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</si>
  <si>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</si>
  <si>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</si>
  <si>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</si>
  <si>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</si>
  <si>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</si>
  <si>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</si>
  <si>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</si>
  <si>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</si>
  <si>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</si>
  <si>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</si>
  <si>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</si>
  <si>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</si>
  <si>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</si>
  <si>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</si>
  <si>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</si>
  <si>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</si>
  <si>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</si>
  <si>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</si>
  <si>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</si>
  <si>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</si>
  <si>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</si>
  <si>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</si>
  <si>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</si>
  <si>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</si>
  <si>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</si>
  <si>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</si>
  <si>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</si>
  <si>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</si>
  <si>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</si>
  <si>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</si>
  <si>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</si>
  <si>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</si>
  <si>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</si>
  <si>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</si>
  <si>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</si>
  <si>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</si>
  <si>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</si>
  <si>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</si>
  <si>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</si>
  <si>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</si>
  <si>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</si>
  <si>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</si>
  <si>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</si>
  <si>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</si>
  <si>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</si>
  <si>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</si>
  <si>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</si>
  <si>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</si>
  <si>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</si>
  <si>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</si>
  <si>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</si>
  <si>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</si>
  <si>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</si>
  <si>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</si>
  <si>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</si>
  <si>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</si>
  <si>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</si>
  <si>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</si>
  <si>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</si>
  <si>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</si>
  <si>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</si>
  <si>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</si>
  <si>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</si>
  <si>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</si>
  <si>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</si>
  <si>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</si>
  <si>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</si>
  <si>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</si>
  <si>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</si>
  <si>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</si>
  <si>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</si>
  <si>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</si>
  <si>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</si>
  <si>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</si>
  <si>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</si>
  <si>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</si>
  <si>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</si>
  <si>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</si>
  <si>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</si>
  <si>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</si>
  <si>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</si>
  <si>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</si>
  <si>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</si>
  <si>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</si>
  <si>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</si>
  <si>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</si>
  <si>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</si>
  <si>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</si>
  <si>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</si>
  <si>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</si>
  <si>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</si>
  <si>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</si>
  <si>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</si>
  <si>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</si>
  <si>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</si>
  <si>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</si>
  <si>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</si>
  <si>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</si>
  <si>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</si>
  <si>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</si>
  <si>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</si>
  <si>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</si>
  <si>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</si>
  <si>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</si>
  <si>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</si>
  <si>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</si>
  <si>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</si>
  <si>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</si>
  <si>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</si>
  <si>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</si>
  <si>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</si>
  <si>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</si>
  <si>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</si>
  <si>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</si>
  <si>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</si>
  <si>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</si>
  <si>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</si>
  <si>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</si>
  <si>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</si>
  <si>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</si>
  <si>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</si>
  <si>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</si>
  <si>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</si>
  <si>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</si>
  <si>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</si>
  <si>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</si>
  <si>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</si>
  <si>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</si>
  <si>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</si>
  <si>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</si>
  <si>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</si>
  <si>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</si>
  <si>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</si>
  <si>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</si>
  <si>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</si>
  <si>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</si>
  <si>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</si>
  <si>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</si>
  <si>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</si>
  <si>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</si>
  <si>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</si>
  <si>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</si>
  <si>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</si>
  <si>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</si>
  <si>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</si>
  <si>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</si>
  <si>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</si>
  <si>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</si>
  <si>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</si>
  <si>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</si>
  <si>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</si>
  <si>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</si>
  <si>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</si>
  <si>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</si>
  <si>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</si>
  <si>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</si>
  <si>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</si>
  <si>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</si>
  <si>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</si>
  <si>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</si>
  <si>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</si>
  <si>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</si>
  <si>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</si>
  <si>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</si>
  <si>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</si>
  <si>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</si>
  <si>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</si>
  <si>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</si>
  <si>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</si>
  <si>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</si>
  <si>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</si>
  <si>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</si>
  <si>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</si>
  <si>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</si>
  <si>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</si>
  <si>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</si>
  <si>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</si>
  <si>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</si>
  <si>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</si>
  <si>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</si>
  <si>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</si>
  <si>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</si>
  <si>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</si>
  <si>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</si>
  <si>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</si>
  <si>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</si>
  <si>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</si>
  <si>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</si>
  <si>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</si>
  <si>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</si>
  <si>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</si>
  <si>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</si>
  <si>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</si>
  <si>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</si>
  <si>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</si>
  <si>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</si>
  <si>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</si>
  <si>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</si>
  <si>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</si>
  <si>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</si>
  <si>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</si>
  <si>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</si>
  <si>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</si>
  <si>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</si>
  <si>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</si>
  <si>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</si>
  <si>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</si>
  <si>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</si>
  <si>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</si>
  <si>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</si>
  <si>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</si>
  <si>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</si>
  <si>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</si>
  <si>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</si>
  <si>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</si>
  <si>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</si>
  <si>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</si>
  <si>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</si>
  <si>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</si>
  <si>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</si>
  <si>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</si>
  <si>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</si>
  <si>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</si>
  <si>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</si>
  <si>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</si>
  <si>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</si>
  <si>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</si>
  <si>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</si>
  <si>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</si>
  <si>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</si>
  <si>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</si>
  <si>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</si>
  <si>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</si>
  <si>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</si>
  <si>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</si>
  <si>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</si>
  <si>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</si>
  <si>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</si>
  <si>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</si>
  <si>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</si>
  <si>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</si>
  <si>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</si>
  <si>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</si>
  <si>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</si>
  <si>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</si>
  <si>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</si>
  <si>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</si>
  <si>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</si>
  <si>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</si>
  <si>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</si>
  <si>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</si>
  <si>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</si>
  <si>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</si>
  <si>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</si>
  <si>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</si>
  <si>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</si>
  <si>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</si>
  <si>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</si>
  <si>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</si>
  <si>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</si>
  <si>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</si>
  <si>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</si>
  <si>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</si>
  <si>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</si>
  <si>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</si>
  <si>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</si>
  <si>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</si>
  <si>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</si>
  <si>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</si>
  <si>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</si>
  <si>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</si>
  <si>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</si>
  <si>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</si>
  <si>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</si>
  <si>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</si>
  <si>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</si>
  <si>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</si>
  <si>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</si>
  <si>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</si>
  <si>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</si>
  <si>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</si>
  <si>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</si>
  <si>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</si>
  <si>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</si>
  <si>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</si>
  <si>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</si>
  <si>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</si>
  <si>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</si>
  <si>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</si>
  <si>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</si>
  <si>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</si>
  <si>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</si>
  <si>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</si>
  <si>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</si>
  <si>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</si>
  <si>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</si>
  <si>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</si>
  <si>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</si>
  <si>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</si>
  <si>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</si>
  <si>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</si>
  <si>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</si>
  <si>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</si>
  <si>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</si>
  <si>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</si>
  <si>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</si>
  <si>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</si>
  <si>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</si>
  <si>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</si>
  <si>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</si>
  <si>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</si>
  <si>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</si>
  <si>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</si>
  <si>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</si>
  <si>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</si>
  <si>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</si>
  <si>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</si>
  <si>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</si>
  <si>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</si>
  <si>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</si>
  <si>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</si>
  <si>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</si>
  <si>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</si>
  <si>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</si>
  <si>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</si>
  <si>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</si>
  <si>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</si>
  <si>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</si>
  <si>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</si>
  <si>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</si>
  <si>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</si>
  <si>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</si>
  <si>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</si>
  <si>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</si>
  <si>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</si>
  <si>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</si>
  <si>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</si>
  <si>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</si>
  <si>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</si>
  <si>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</si>
  <si>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</si>
  <si>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</si>
  <si>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</si>
  <si>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</si>
  <si>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</si>
  <si>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</si>
  <si>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</si>
  <si>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</si>
  <si>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</si>
  <si>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</si>
  <si>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</si>
  <si>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</si>
  <si>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</si>
  <si>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</si>
  <si>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</si>
  <si>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</si>
  <si>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</si>
  <si>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</si>
  <si>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</si>
  <si>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</si>
  <si>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</si>
  <si>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</si>
  <si>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</si>
  <si>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</si>
  <si>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</si>
  <si>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</si>
  <si>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</si>
  <si>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</si>
  <si>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</si>
  <si>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</si>
  <si>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</si>
  <si>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</si>
  <si>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</si>
  <si>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</si>
  <si>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</si>
  <si>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</si>
  <si>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</si>
  <si>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</si>
  <si>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</si>
  <si>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</si>
  <si>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</si>
  <si>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</si>
  <si>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</si>
  <si>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</si>
  <si>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</si>
  <si>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</si>
  <si>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</si>
  <si>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</si>
  <si>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</si>
  <si>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</si>
  <si>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</si>
  <si>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</si>
  <si>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</si>
  <si>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</si>
  <si>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</si>
  <si>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</si>
  <si>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</si>
  <si>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</si>
  <si>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</si>
  <si>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</si>
  <si>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</si>
  <si>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</si>
  <si>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</si>
  <si>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</si>
  <si>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</si>
  <si>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</si>
  <si>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</si>
  <si>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</si>
  <si>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</si>
  <si>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</si>
  <si>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</si>
  <si>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</si>
  <si>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</si>
  <si>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</si>
  <si>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</si>
  <si>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</si>
  <si>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</si>
  <si>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</si>
  <si>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</si>
  <si>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</si>
  <si>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</si>
  <si>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</si>
  <si>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</si>
  <si>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</si>
  <si>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</si>
  <si>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</si>
  <si>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</si>
  <si>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</si>
  <si>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</si>
  <si>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</si>
  <si>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</si>
  <si>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</si>
  <si>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</si>
  <si>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</si>
  <si>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</si>
  <si>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</si>
  <si>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</si>
  <si>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</si>
  <si>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</si>
  <si>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</si>
  <si>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</si>
  <si>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</si>
  <si>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</si>
  <si>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</si>
  <si>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</si>
  <si>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</si>
  <si>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</si>
  <si>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</si>
  <si>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</si>
  <si>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</si>
  <si>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</si>
  <si>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</si>
  <si>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</si>
  <si>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</si>
  <si>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</si>
  <si>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</si>
  <si>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</si>
  <si>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</si>
  <si>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</si>
  <si>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</si>
  <si>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</si>
  <si>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</si>
  <si>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</si>
  <si>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</si>
  <si>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</si>
  <si>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</si>
  <si>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</si>
  <si>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</si>
  <si>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</si>
  <si>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</si>
  <si>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</si>
  <si>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</si>
  <si>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</si>
  <si>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</si>
  <si>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</si>
  <si>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</si>
  <si>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</si>
  <si>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</si>
  <si>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</si>
  <si>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</si>
  <si>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</si>
  <si>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</si>
  <si>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</si>
  <si>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</si>
  <si>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</si>
  <si>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</si>
  <si>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</si>
  <si>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</si>
  <si>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</si>
  <si>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</si>
  <si>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</si>
  <si>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</si>
  <si>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</si>
  <si>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</si>
  <si>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</si>
  <si>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</si>
  <si>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</si>
  <si>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</si>
  <si>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</si>
  <si>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</si>
  <si>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</si>
  <si>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</si>
  <si>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</si>
  <si>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</si>
  <si>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</si>
  <si>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</si>
  <si>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</si>
  <si>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</si>
  <si>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</si>
  <si>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</si>
  <si>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</si>
  <si>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</si>
  <si>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</si>
  <si>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</si>
  <si>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</si>
  <si>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</si>
  <si>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</si>
  <si>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</si>
  <si>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</si>
  <si>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</si>
  <si>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</si>
  <si>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</si>
  <si>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</si>
  <si>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</si>
  <si>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</si>
  <si>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</si>
  <si>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</si>
  <si>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</si>
  <si>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</si>
  <si>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</si>
  <si>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</si>
  <si>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</si>
  <si>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</si>
  <si>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</si>
  <si>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</si>
  <si>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</si>
  <si>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</si>
  <si>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</si>
  <si>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</si>
  <si>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</si>
  <si>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</si>
  <si>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</si>
  <si>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</si>
  <si>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</si>
  <si>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</si>
  <si>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</si>
  <si>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</si>
  <si>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</si>
  <si>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</si>
  <si>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</si>
  <si>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</si>
  <si>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</si>
  <si>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</si>
  <si>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</si>
  <si>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</si>
  <si>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</si>
  <si>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</si>
  <si>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</si>
  <si>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</si>
  <si>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</si>
  <si>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</si>
  <si>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</si>
  <si>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</si>
  <si>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</si>
  <si>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</si>
  <si>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</si>
  <si>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</si>
  <si>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</si>
  <si>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</si>
  <si>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</si>
  <si>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</si>
  <si>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</si>
  <si>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</si>
  <si>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</si>
  <si>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</si>
  <si>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</si>
  <si>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</si>
  <si>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</si>
  <si>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</si>
  <si>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</si>
  <si>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</si>
  <si>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</si>
  <si>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</si>
  <si>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</si>
  <si>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</si>
  <si>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</si>
  <si>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</si>
  <si>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</si>
  <si>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</si>
  <si>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</si>
  <si>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</si>
  <si>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</si>
  <si>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</si>
  <si>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</si>
  <si>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</si>
  <si>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</si>
  <si>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</si>
  <si>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</si>
  <si>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</si>
  <si>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</si>
  <si>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</si>
  <si>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</si>
  <si>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</si>
  <si>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</si>
  <si>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</si>
  <si>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</si>
  <si>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</si>
  <si>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</si>
  <si>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</si>
  <si>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</si>
  <si>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</si>
  <si>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</si>
  <si>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</si>
  <si>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</si>
  <si>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</si>
  <si>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</si>
  <si>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</si>
  <si>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</si>
  <si>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</si>
  <si>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</si>
  <si>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</si>
  <si>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</si>
  <si>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</si>
  <si>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</si>
  <si>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</si>
  <si>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</si>
  <si>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</si>
  <si>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</si>
  <si>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</si>
  <si>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</si>
  <si>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</si>
  <si>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</si>
  <si>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</si>
  <si>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</si>
  <si>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</si>
  <si>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</si>
  <si>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</si>
  <si>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</si>
  <si>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</si>
  <si>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</si>
  <si>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</si>
  <si>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</si>
  <si>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</si>
  <si>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</si>
  <si>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</si>
  <si>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</si>
  <si>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</si>
  <si>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</si>
  <si>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</si>
  <si>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</si>
  <si>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</si>
  <si>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</si>
  <si>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</si>
  <si>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</si>
  <si>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</si>
  <si>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</si>
  <si>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</si>
  <si>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</si>
  <si>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</si>
  <si>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</si>
  <si>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</si>
  <si>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</si>
  <si>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</si>
  <si>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</si>
  <si>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</si>
  <si>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</si>
  <si>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</si>
  <si>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</si>
  <si>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</si>
  <si>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</si>
  <si>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</si>
  <si>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</si>
  <si>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</si>
  <si>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</si>
  <si>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</si>
  <si>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</si>
  <si>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</si>
  <si>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</si>
  <si>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</si>
  <si>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</si>
  <si>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</si>
  <si>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</si>
  <si>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</si>
  <si>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</si>
  <si>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</si>
  <si>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</si>
  <si>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</si>
  <si>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</si>
  <si>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</si>
  <si>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</si>
  <si>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</si>
  <si>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</si>
  <si>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</si>
  <si>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</si>
  <si>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</si>
  <si>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</si>
  <si>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</si>
  <si>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</si>
  <si>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</si>
  <si>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</si>
  <si>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</si>
  <si>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</si>
  <si>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</si>
  <si>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</si>
  <si>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</si>
  <si>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</si>
  <si>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</si>
  <si>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</si>
  <si>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</si>
  <si>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</si>
  <si>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</si>
  <si>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</si>
  <si>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</si>
  <si>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</si>
  <si>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</si>
  <si>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</si>
  <si>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</si>
  <si>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</si>
  <si>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</si>
  <si>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</si>
  <si>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</si>
  <si>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</si>
  <si>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</si>
  <si>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</si>
  <si>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</si>
  <si>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</si>
  <si>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</si>
  <si>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</si>
  <si>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</si>
  <si>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</si>
  <si>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</si>
  <si>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</si>
  <si>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</si>
  <si>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</si>
  <si>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</si>
  <si>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</si>
  <si>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</si>
  <si>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</si>
  <si>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</si>
  <si>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</si>
  <si>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</si>
  <si>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</si>
  <si>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</si>
  <si>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</si>
  <si>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</si>
  <si>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</si>
  <si>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</si>
  <si>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</si>
  <si>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</si>
  <si>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</si>
  <si>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</si>
  <si>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</si>
  <si>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</si>
  <si>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</si>
  <si>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</si>
  <si>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</si>
  <si>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</si>
  <si>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</si>
  <si>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</si>
  <si>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</si>
  <si>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</si>
  <si>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</si>
  <si>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</si>
  <si>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</si>
  <si>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</si>
  <si>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</si>
  <si>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</si>
  <si>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</si>
  <si>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</si>
  <si>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</si>
  <si>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</si>
  <si>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</si>
  <si>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</si>
  <si>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</si>
  <si>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</si>
  <si>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</si>
  <si>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</si>
  <si>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</si>
  <si>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</si>
  <si>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</si>
  <si>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</si>
  <si>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</si>
  <si>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</si>
  <si>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</si>
  <si>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</si>
  <si>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</si>
  <si>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</si>
  <si>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</si>
  <si>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</si>
  <si>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</si>
  <si>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</si>
  <si>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</si>
  <si>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</si>
  <si>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</si>
  <si>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</si>
  <si>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</si>
  <si>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</si>
  <si>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</si>
  <si>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</si>
  <si>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</si>
  <si>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</si>
  <si>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</si>
  <si>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</si>
  <si>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</si>
  <si>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</si>
  <si>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</si>
  <si>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</si>
  <si>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</si>
  <si>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</si>
  <si>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</si>
  <si>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</si>
  <si>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</si>
  <si>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</si>
  <si>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</si>
  <si>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</si>
  <si>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</si>
  <si>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</si>
  <si>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</si>
  <si>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</si>
  <si>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</si>
  <si>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</si>
  <si>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</si>
  <si>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</si>
  <si>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</si>
  <si>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</si>
  <si>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</si>
  <si>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</si>
  <si>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</si>
  <si>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</si>
  <si>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</si>
  <si>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</si>
  <si>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</si>
  <si>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</si>
  <si>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</si>
  <si>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</si>
  <si>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</si>
  <si>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</si>
  <si>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</si>
  <si>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</si>
  <si>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</si>
  <si>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</si>
  <si>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</si>
  <si>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</si>
  <si>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</si>
  <si>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</si>
  <si>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</si>
  <si>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</si>
  <si>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</si>
  <si>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</si>
  <si>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</si>
  <si>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</si>
  <si>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</si>
  <si>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</si>
  <si>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</si>
  <si>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</si>
  <si>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</si>
  <si>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</si>
  <si>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</si>
  <si>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</si>
  <si>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</si>
  <si>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</si>
  <si>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</si>
  <si>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</si>
  <si>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</si>
  <si>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</si>
  <si>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</si>
  <si>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</si>
  <si>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</si>
  <si>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</si>
  <si>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</si>
  <si>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</si>
  <si>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</si>
  <si>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</si>
  <si>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</si>
  <si>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</si>
  <si>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</si>
  <si>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</si>
  <si>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</si>
  <si>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</si>
  <si>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</si>
  <si>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</si>
  <si>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</si>
  <si>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</si>
  <si>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</si>
  <si>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</si>
  <si>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</si>
  <si>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</si>
  <si>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</si>
  <si>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</si>
  <si>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</si>
  <si>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</si>
  <si>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</si>
  <si>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</si>
  <si>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</si>
  <si>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</si>
  <si>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</si>
  <si>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</si>
  <si>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</si>
  <si>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</si>
  <si>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</si>
  <si>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</si>
  <si>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</si>
  <si>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</si>
  <si>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</si>
  <si>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</si>
  <si>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</si>
  <si>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</si>
  <si>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</si>
  <si>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</si>
  <si>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</si>
  <si>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</si>
  <si>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</si>
  <si>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</si>
  <si>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</si>
  <si>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</si>
  <si>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</si>
  <si>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</si>
  <si>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</si>
  <si>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</si>
  <si>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</si>
  <si>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</si>
  <si>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</si>
  <si>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</si>
  <si>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</si>
  <si>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</si>
  <si>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</si>
  <si>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</si>
  <si>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</si>
  <si>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</si>
  <si>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</si>
  <si>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</si>
  <si>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</si>
  <si>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</si>
  <si>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</si>
  <si>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</si>
  <si>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</si>
  <si>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</si>
  <si>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</si>
  <si>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</si>
  <si>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</si>
  <si>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</si>
  <si>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</si>
  <si>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</si>
  <si>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</si>
  <si>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</si>
  <si>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</si>
  <si>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</si>
  <si>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</si>
  <si>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</si>
  <si>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</si>
  <si>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</si>
  <si>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</si>
  <si>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</si>
  <si>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</si>
  <si>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</si>
  <si>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</si>
  <si>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</si>
  <si>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</si>
  <si>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</si>
  <si>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</si>
  <si>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</si>
  <si>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</si>
  <si>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</si>
  <si>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</si>
  <si>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</si>
  <si>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</si>
  <si>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</si>
  <si>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</si>
  <si>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</si>
  <si>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</si>
  <si>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</si>
  <si>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</si>
  <si>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</si>
  <si>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</si>
  <si>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</si>
  <si>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</si>
  <si>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</si>
  <si>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</si>
  <si>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</si>
  <si>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</si>
  <si>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</si>
  <si>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</si>
  <si>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</si>
  <si>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</si>
  <si>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</si>
  <si>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</si>
  <si>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</si>
  <si>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</si>
  <si>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</si>
  <si>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</si>
  <si>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</si>
  <si>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</si>
  <si>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</si>
  <si>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</si>
  <si>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</si>
  <si>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</si>
  <si>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</si>
  <si>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</si>
  <si>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</si>
  <si>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</si>
  <si>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</si>
  <si>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</si>
  <si>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</si>
  <si>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</si>
  <si>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</si>
  <si>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</si>
  <si>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</si>
  <si>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</si>
  <si>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</si>
  <si>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</si>
  <si>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</si>
  <si>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</si>
  <si>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</si>
  <si>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</si>
  <si>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</si>
  <si>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</si>
  <si>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</si>
  <si>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</si>
  <si>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</si>
  <si>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</si>
  <si>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</si>
  <si>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</si>
  <si>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</si>
  <si>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</si>
  <si>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</si>
  <si>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</si>
  <si>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</si>
  <si>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</si>
  <si>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</si>
  <si>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</si>
  <si>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</si>
  <si>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</si>
  <si>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</si>
  <si>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</si>
  <si>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</si>
  <si>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</si>
  <si>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</si>
  <si>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</si>
  <si>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</si>
  <si>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</si>
  <si>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</si>
  <si>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</si>
  <si>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</si>
  <si>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</si>
  <si>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</si>
  <si>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</si>
  <si>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</si>
  <si>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</si>
  <si>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</si>
  <si>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</si>
  <si>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</si>
  <si>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</si>
  <si>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</si>
  <si>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</si>
  <si>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</si>
  <si>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</si>
  <si>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</si>
  <si>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</si>
  <si>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</si>
  <si>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</si>
  <si>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</si>
  <si>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</si>
  <si>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</si>
  <si>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</si>
  <si>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</si>
  <si>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</si>
  <si>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</si>
  <si>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</si>
  <si>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</si>
  <si>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</si>
  <si>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</si>
  <si>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</si>
  <si>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</si>
  <si>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</si>
  <si>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</si>
  <si>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</si>
  <si>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</si>
  <si>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</si>
  <si>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</si>
  <si>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</si>
  <si>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</si>
  <si>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</si>
  <si>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</si>
  <si>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</si>
  <si>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</si>
  <si>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</si>
  <si>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</si>
  <si>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</si>
  <si>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</si>
  <si>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</si>
  <si>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</si>
  <si>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</si>
  <si>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</si>
  <si>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</si>
  <si>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</si>
  <si>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</si>
  <si>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</si>
  <si>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</si>
  <si>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</si>
  <si>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</si>
  <si>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</si>
  <si>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</si>
  <si>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</si>
  <si>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</si>
  <si>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</si>
  <si>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</si>
  <si>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</si>
  <si>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</si>
  <si>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</si>
  <si>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</si>
  <si>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</si>
  <si>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</si>
  <si>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</si>
  <si>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</si>
  <si>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</si>
  <si>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</si>
  <si>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</si>
  <si>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</si>
  <si>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</si>
  <si>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</si>
  <si>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</si>
  <si>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</si>
  <si>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</si>
  <si>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</si>
  <si>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</si>
  <si>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</si>
  <si>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</si>
  <si>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</si>
  <si>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</si>
  <si>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</si>
  <si>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</si>
  <si>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</si>
  <si>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</si>
  <si>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</si>
  <si>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</si>
  <si>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</si>
  <si>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</si>
  <si>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</si>
  <si>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</si>
  <si>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</si>
  <si>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</si>
  <si>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</si>
  <si>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</si>
  <si>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</si>
  <si>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</si>
  <si>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</si>
  <si>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</si>
  <si>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</si>
  <si>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</si>
  <si>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</si>
  <si>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</si>
  <si>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</si>
  <si>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</si>
  <si>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</si>
  <si>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</si>
  <si>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</si>
  <si>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</si>
  <si>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</si>
  <si>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</si>
  <si>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</si>
  <si>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</si>
  <si>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</si>
  <si>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</si>
  <si>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</si>
  <si>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</si>
  <si>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</si>
  <si>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</si>
  <si>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</si>
  <si>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</si>
  <si>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</si>
  <si>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</si>
  <si>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</si>
  <si>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</si>
  <si>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</si>
  <si>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</si>
  <si>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</si>
  <si>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</si>
  <si>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</si>
  <si>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</si>
  <si>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</si>
  <si>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</si>
  <si>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</si>
  <si>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</si>
  <si>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</si>
  <si>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</si>
  <si>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</si>
  <si>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</si>
  <si>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</si>
  <si>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</si>
  <si>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</si>
  <si>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</si>
  <si>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</si>
  <si>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</si>
  <si>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</si>
  <si>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</si>
  <si>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</si>
  <si>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</si>
  <si>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</si>
  <si>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</si>
  <si>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</si>
  <si>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</si>
  <si>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</si>
  <si>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</si>
  <si>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</si>
  <si>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</si>
  <si>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</si>
  <si>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</si>
  <si>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</si>
  <si>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</si>
  <si>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</si>
  <si>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</si>
  <si>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</si>
  <si>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</si>
  <si>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</si>
  <si>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</si>
  <si>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</si>
  <si>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</si>
  <si>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</si>
  <si>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</si>
  <si>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</si>
  <si>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</si>
  <si>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</si>
  <si>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</si>
  <si>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</si>
  <si>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</si>
  <si>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</si>
  <si>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</si>
  <si>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</si>
  <si>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</si>
  <si>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</si>
  <si>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</si>
  <si>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</si>
  <si>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</si>
  <si>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</si>
  <si>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</si>
  <si>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</si>
  <si>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</si>
  <si>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</si>
  <si>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</si>
  <si>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</si>
  <si>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</si>
  <si>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</si>
  <si>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</si>
  <si>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</si>
  <si>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</si>
  <si>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</si>
  <si>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</si>
  <si>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</si>
  <si>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</si>
  <si>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</si>
  <si>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</si>
  <si>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</si>
  <si>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</si>
  <si>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</si>
  <si>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</si>
  <si>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</si>
  <si>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</si>
  <si>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</si>
  <si>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</si>
  <si>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</si>
  <si>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</si>
  <si>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</si>
  <si>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</si>
  <si>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</si>
  <si>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</si>
  <si>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</si>
  <si>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</si>
  <si>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</si>
  <si>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</si>
  <si>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</si>
  <si>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</si>
  <si>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</si>
  <si>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</si>
  <si>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</si>
  <si>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</si>
  <si>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</si>
  <si>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</si>
  <si>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</si>
  <si>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</si>
  <si>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</si>
  <si>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</si>
  <si>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</si>
  <si>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</si>
  <si>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</si>
  <si>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</si>
  <si>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</si>
  <si>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</si>
  <si>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</si>
  <si>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</si>
  <si>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</si>
  <si>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</si>
  <si>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</si>
  <si>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</si>
  <si>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</si>
  <si>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</si>
  <si>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</si>
  <si>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</si>
  <si>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</si>
  <si>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</si>
  <si>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</si>
  <si>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</si>
  <si>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</si>
  <si>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</si>
  <si>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</si>
  <si>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</si>
  <si>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</si>
  <si>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</si>
  <si>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</si>
  <si>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</si>
  <si>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</si>
  <si>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</si>
  <si>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</si>
  <si>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</si>
  <si>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</si>
  <si>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</si>
  <si>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</si>
  <si>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</si>
  <si>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</si>
  <si>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</si>
  <si>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</si>
  <si>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</si>
  <si>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</si>
  <si>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</si>
  <si>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</si>
  <si>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</si>
  <si>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</si>
  <si>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</si>
  <si>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</si>
  <si>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</si>
  <si>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</si>
  <si>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</si>
  <si>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</si>
  <si>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</si>
  <si>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</si>
  <si>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</si>
  <si>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</si>
  <si>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</si>
  <si>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</si>
  <si>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</si>
  <si>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</si>
  <si>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</si>
  <si>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</si>
  <si>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</si>
  <si>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</si>
  <si>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</si>
  <si>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</si>
  <si>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</si>
  <si>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</si>
  <si>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</si>
  <si>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</si>
  <si>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</si>
  <si>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</si>
  <si>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</si>
  <si>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</si>
  <si>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</si>
  <si>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</si>
  <si>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</si>
  <si>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</si>
  <si>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</si>
  <si>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</si>
  <si>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</si>
  <si>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</si>
  <si>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</si>
  <si>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</si>
  <si>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</si>
  <si>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</si>
  <si>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</si>
  <si>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</si>
  <si>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</si>
  <si>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</si>
  <si>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</si>
  <si>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</si>
  <si>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</si>
  <si>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</si>
  <si>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</si>
  <si>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</si>
  <si>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</si>
  <si>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</si>
  <si>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</si>
  <si>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</si>
  <si>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</si>
  <si>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</si>
  <si>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</si>
  <si>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</si>
  <si>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</si>
  <si>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</si>
  <si>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</si>
  <si>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</si>
  <si>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</si>
  <si>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</si>
  <si>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</si>
  <si>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</si>
  <si>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</si>
  <si>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</si>
  <si>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</si>
  <si>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</si>
  <si>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</si>
  <si>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</si>
  <si>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</si>
  <si>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</si>
  <si>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</si>
  <si>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</si>
  <si>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</si>
  <si>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</si>
  <si>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</si>
  <si>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</si>
  <si>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</si>
  <si>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</si>
  <si>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</si>
  <si>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</si>
  <si>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</si>
  <si>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</si>
  <si>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</si>
  <si>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</si>
  <si>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</si>
  <si>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</si>
  <si>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</si>
  <si>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</si>
  <si>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</si>
  <si>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</si>
  <si>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</si>
  <si>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</si>
  <si>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</si>
  <si>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</si>
  <si>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</si>
  <si>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</si>
  <si>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</si>
  <si>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</si>
  <si>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</si>
  <si>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</si>
  <si>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</si>
  <si>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</si>
  <si>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</si>
  <si>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</si>
  <si>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</si>
  <si>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</si>
  <si>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</si>
  <si>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</si>
  <si>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</si>
  <si>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</si>
  <si>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</si>
  <si>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</si>
  <si>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</si>
  <si>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</si>
  <si>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</si>
  <si>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</si>
  <si>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</si>
  <si>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</si>
  <si>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</si>
  <si>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</si>
  <si>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</si>
  <si>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</si>
  <si>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</si>
  <si>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</si>
  <si>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</si>
  <si>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</si>
  <si>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</si>
  <si>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</si>
  <si>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</si>
  <si>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</si>
  <si>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</si>
  <si>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</si>
  <si>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</si>
  <si>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</si>
  <si>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</si>
  <si>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</si>
  <si>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</si>
  <si>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</si>
  <si>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</si>
  <si>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</si>
  <si>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</si>
  <si>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</si>
  <si>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</si>
  <si>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</si>
  <si>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</si>
  <si>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</si>
  <si>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</si>
  <si>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</si>
  <si>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</si>
  <si>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</si>
  <si>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</si>
  <si>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</si>
  <si>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</si>
  <si>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</si>
  <si>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</si>
  <si>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</si>
  <si>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</si>
  <si>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</si>
  <si>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</si>
  <si>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</si>
  <si>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</si>
  <si>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</si>
  <si>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</si>
  <si>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</si>
  <si>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</si>
  <si>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</si>
  <si>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</si>
  <si>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</si>
  <si>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</si>
  <si>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</si>
  <si>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</si>
  <si>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</si>
  <si>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</si>
  <si>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</si>
  <si>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</si>
  <si>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</si>
  <si>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</si>
  <si>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</si>
  <si>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</si>
  <si>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</si>
  <si>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</si>
  <si>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</si>
  <si>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</si>
  <si>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</si>
  <si>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</si>
  <si>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</si>
  <si>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</si>
  <si>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</si>
  <si>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</si>
  <si>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</si>
  <si>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</si>
  <si>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</si>
  <si>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</si>
  <si>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</si>
  <si>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</si>
  <si>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</si>
  <si>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</si>
  <si>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</si>
  <si>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</si>
  <si>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</si>
  <si>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</si>
  <si>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</si>
  <si>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</si>
  <si>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</si>
  <si>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</si>
  <si>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</si>
  <si>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</si>
  <si>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</si>
  <si>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</si>
  <si>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</si>
  <si>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</si>
  <si>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</si>
  <si>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</si>
  <si>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</si>
  <si>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</si>
  <si>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</si>
  <si>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</si>
  <si>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</si>
  <si>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</si>
  <si>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</si>
  <si>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</si>
  <si>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</si>
  <si>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</si>
  <si>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</si>
  <si>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</si>
  <si>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</si>
  <si>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</si>
  <si>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</si>
  <si>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</si>
  <si>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</si>
  <si>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</si>
  <si>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</si>
  <si>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</si>
  <si>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</si>
  <si>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</si>
  <si>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</si>
  <si>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</si>
  <si>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</si>
  <si>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</si>
  <si>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</si>
  <si>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</si>
  <si>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</si>
  <si>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</si>
  <si>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</si>
  <si>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</si>
  <si>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</si>
  <si>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</si>
  <si>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</si>
  <si>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</si>
  <si>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</si>
  <si>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</si>
  <si>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</si>
  <si>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</si>
  <si>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</si>
  <si>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</si>
  <si>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</si>
  <si>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</si>
  <si>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</si>
  <si>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</si>
  <si>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</si>
  <si>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</si>
  <si>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</si>
  <si>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</si>
  <si>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</si>
  <si>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</si>
  <si>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</si>
  <si>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</si>
  <si>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</si>
  <si>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</si>
  <si>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</si>
  <si>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</si>
  <si>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</si>
  <si>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</si>
  <si>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</si>
  <si>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</si>
  <si>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</si>
  <si>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</si>
  <si>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</si>
  <si>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</si>
  <si>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</si>
  <si>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</si>
  <si>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</si>
  <si>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</si>
  <si>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</si>
  <si>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</si>
  <si>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</si>
  <si>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</si>
  <si>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</si>
  <si>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</si>
  <si>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</si>
  <si>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</si>
  <si>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</si>
  <si>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</si>
  <si>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</si>
  <si>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</si>
  <si>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</si>
  <si>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</si>
  <si>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</si>
  <si>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</si>
  <si>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</si>
  <si>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</si>
  <si>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</si>
  <si>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</si>
  <si>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</si>
  <si>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</si>
  <si>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</si>
  <si>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</si>
  <si>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</si>
  <si>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</si>
  <si>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</si>
  <si>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</si>
  <si>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</si>
  <si>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</si>
  <si>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</si>
  <si>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</si>
  <si>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</si>
  <si>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</si>
  <si>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</si>
  <si>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</si>
  <si>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</si>
  <si>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</si>
  <si>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</si>
  <si>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</si>
  <si>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</si>
  <si>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</si>
  <si>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</si>
  <si>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</si>
  <si>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</si>
  <si>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</si>
  <si>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</si>
  <si>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</si>
  <si>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</si>
  <si>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</si>
  <si>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</si>
  <si>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</si>
  <si>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</si>
  <si>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</si>
  <si>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</si>
  <si>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</si>
  <si>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</si>
  <si>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</si>
  <si>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</si>
  <si>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</si>
  <si>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</si>
  <si>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</si>
  <si>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</si>
  <si>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</si>
  <si>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</si>
  <si>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</si>
  <si>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</si>
  <si>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</si>
  <si>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</si>
  <si>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</si>
  <si>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</si>
  <si>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</si>
  <si>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</si>
  <si>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</si>
  <si>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</si>
  <si>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</si>
  <si>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</si>
  <si>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</si>
  <si>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</si>
  <si>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</si>
  <si>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</si>
  <si>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</si>
  <si>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</si>
  <si>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</si>
  <si>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</si>
  <si>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</si>
  <si>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</si>
  <si>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</si>
  <si>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</si>
  <si>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</si>
  <si>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</si>
  <si>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</si>
  <si>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</si>
  <si>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</si>
  <si>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</si>
  <si>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</si>
  <si>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</si>
  <si>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</si>
  <si>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</si>
  <si>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</si>
  <si>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</si>
  <si>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</si>
  <si>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</si>
  <si>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</si>
  <si>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</si>
  <si>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</si>
  <si>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</si>
  <si>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</si>
  <si>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</si>
  <si>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</si>
  <si>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</si>
  <si>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</si>
  <si>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</si>
  <si>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</si>
  <si>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</si>
  <si>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</si>
  <si>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</si>
  <si>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</si>
  <si>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</si>
  <si>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</si>
  <si>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</si>
  <si>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</si>
  <si>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</si>
  <si>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小中高校・集合住宅</t>
    <rPh sb="0" eb="3">
      <t>ショウチュウコウ</t>
    </rPh>
    <rPh sb="3" eb="4">
      <t>コウ</t>
    </rPh>
    <rPh sb="5" eb="7">
      <t>シュウゴウ</t>
    </rPh>
    <rPh sb="7" eb="9">
      <t>ジュウタク</t>
    </rPh>
    <phoneticPr fontId="22"/>
  </si>
  <si>
    <t>計</t>
    <rPh sb="0" eb="1">
      <t>ケイ</t>
    </rPh>
    <phoneticPr fontId="22"/>
  </si>
  <si>
    <t>CASBEE-BD_NC_2016(v3.0)</t>
    <phoneticPr fontId="22"/>
  </si>
  <si>
    <t>1.　緑豊なまちなみ</t>
  </si>
  <si>
    <t>柏の重点項目における配慮事項</t>
    <rPh sb="0" eb="1">
      <t>カシワ</t>
    </rPh>
    <rPh sb="2" eb="4">
      <t>ジュウテン</t>
    </rPh>
    <rPh sb="4" eb="6">
      <t>コウモク</t>
    </rPh>
    <rPh sb="10" eb="12">
      <t>ハイリョ</t>
    </rPh>
    <rPh sb="12" eb="14">
      <t>ジコウ</t>
    </rPh>
    <phoneticPr fontId="22"/>
  </si>
  <si>
    <t>K1　地球環境にやさしい
社会をつくる</t>
  </si>
  <si>
    <t>1.　省エネ型まちづくり</t>
  </si>
  <si>
    <t>2.　循環型まちづくり</t>
  </si>
  <si>
    <t>K2　うるおいのある
景観をつくる</t>
  </si>
  <si>
    <t>2.　魅力ある景観</t>
  </si>
  <si>
    <t>K3　安全で健康な
生活環境をつくる</t>
  </si>
  <si>
    <t>1.　健康な暮らし</t>
  </si>
  <si>
    <t>2.　安全な暮らし</t>
  </si>
  <si>
    <t>：入力欄</t>
    <rPh sb="1" eb="3">
      <t>ニュウリョク</t>
    </rPh>
    <rPh sb="3" eb="4">
      <t>ラン</t>
    </rPh>
    <phoneticPr fontId="22"/>
  </si>
  <si>
    <t xml:space="preserve">
</t>
    <phoneticPr fontId="22"/>
  </si>
  <si>
    <t xml:space="preserve">　
</t>
    <phoneticPr fontId="22"/>
  </si>
  <si>
    <t xml:space="preserve">
</t>
    <phoneticPr fontId="22"/>
  </si>
  <si>
    <t>実施設計段階</t>
  </si>
  <si>
    <t>省エネ型まちづくり</t>
    <rPh sb="0" eb="1">
      <t>ショウ</t>
    </rPh>
    <rPh sb="3" eb="4">
      <t>ガタ</t>
    </rPh>
    <phoneticPr fontId="22"/>
  </si>
  <si>
    <t>(LR1-1)</t>
    <phoneticPr fontId="22"/>
  </si>
  <si>
    <t>スコア</t>
    <phoneticPr fontId="22"/>
  </si>
  <si>
    <t>(LR1-2)</t>
    <phoneticPr fontId="22"/>
  </si>
  <si>
    <t>(LR1-3)</t>
    <phoneticPr fontId="22"/>
  </si>
  <si>
    <t>(LR1-4)</t>
    <phoneticPr fontId="22"/>
  </si>
  <si>
    <t>スコア</t>
    <phoneticPr fontId="22"/>
  </si>
  <si>
    <t>循環型まちづくり</t>
    <rPh sb="0" eb="2">
      <t>ジュンカン</t>
    </rPh>
    <rPh sb="2" eb="3">
      <t>ガタ</t>
    </rPh>
    <phoneticPr fontId="22"/>
  </si>
  <si>
    <t>(LR2-1.2)</t>
    <phoneticPr fontId="22"/>
  </si>
  <si>
    <t>雨水排水負荷低減</t>
    <phoneticPr fontId="22"/>
  </si>
  <si>
    <t>(LR3-2.3.1)</t>
    <phoneticPr fontId="22"/>
  </si>
  <si>
    <t>(LR2-2)</t>
    <phoneticPr fontId="22"/>
  </si>
  <si>
    <t>廃棄物処理負荷抑制</t>
    <rPh sb="7" eb="9">
      <t>ヨクセイ</t>
    </rPh>
    <phoneticPr fontId="22"/>
  </si>
  <si>
    <t>(LR3-2.3.4)</t>
    <phoneticPr fontId="22"/>
  </si>
  <si>
    <t>○</t>
    <phoneticPr fontId="22"/>
  </si>
  <si>
    <t>基本設計段階</t>
  </si>
  <si>
    <t>いいえ</t>
    <phoneticPr fontId="22"/>
  </si>
  <si>
    <t>緑豊かなまちなみ</t>
    <rPh sb="0" eb="1">
      <t>ミドリ</t>
    </rPh>
    <rPh sb="1" eb="2">
      <t>ユタ</t>
    </rPh>
    <phoneticPr fontId="22"/>
  </si>
  <si>
    <t>(Q3-1)</t>
    <phoneticPr fontId="22"/>
  </si>
  <si>
    <t>魅力ある景観</t>
    <rPh sb="0" eb="2">
      <t>ミリョク</t>
    </rPh>
    <rPh sb="4" eb="6">
      <t>ケイカン</t>
    </rPh>
    <phoneticPr fontId="22"/>
  </si>
  <si>
    <t>(Q3-2)</t>
    <phoneticPr fontId="22"/>
  </si>
  <si>
    <r>
      <t>2.2</t>
    </r>
    <r>
      <rPr>
        <b/>
        <sz val="12"/>
        <color indexed="12"/>
        <rFont val="ＭＳ Ｐゴシック"/>
        <family val="3"/>
        <charset val="128"/>
      </rPr>
      <t>　水空間の創出</t>
    </r>
    <rPh sb="4" eb="5">
      <t>ミズ</t>
    </rPh>
    <rPh sb="5" eb="7">
      <t>クウカン</t>
    </rPh>
    <rPh sb="8" eb="10">
      <t>ソウシュツ</t>
    </rPh>
    <phoneticPr fontId="22"/>
  </si>
  <si>
    <t>採否</t>
    <rPh sb="0" eb="2">
      <t>サイヒ</t>
    </rPh>
    <phoneticPr fontId="22"/>
  </si>
  <si>
    <t>次の取組みのいずれかを実施している。
・滝・噴水・人工池等の水景空間の設置
・雨水貯留池の設置
・水路・せせらぎの整備
・水辺を含んだビオトープ（小生物生息空間）の整備</t>
    <phoneticPr fontId="22"/>
  </si>
  <si>
    <r>
      <t>2.3</t>
    </r>
    <r>
      <rPr>
        <b/>
        <sz val="12"/>
        <color indexed="12"/>
        <rFont val="ＭＳ Ｐゴシック"/>
        <family val="3"/>
        <charset val="128"/>
      </rPr>
      <t>　道路沿いの緑化</t>
    </r>
    <rPh sb="4" eb="6">
      <t>ドウロ</t>
    </rPh>
    <rPh sb="6" eb="7">
      <t>ゾ</t>
    </rPh>
    <rPh sb="9" eb="11">
      <t>リョクカ</t>
    </rPh>
    <phoneticPr fontId="22"/>
  </si>
  <si>
    <t>沿道からの緑視率が２５％以上ある。</t>
    <phoneticPr fontId="22"/>
  </si>
  <si>
    <t>健康なくらし</t>
    <rPh sb="0" eb="2">
      <t>ケンコウ</t>
    </rPh>
    <phoneticPr fontId="22"/>
  </si>
  <si>
    <t>(Q1-4)</t>
    <phoneticPr fontId="22"/>
  </si>
  <si>
    <t>スコア</t>
    <phoneticPr fontId="22"/>
  </si>
  <si>
    <t>(Q2-1.1.3)</t>
    <phoneticPr fontId="22"/>
  </si>
  <si>
    <t>安全なくらし</t>
    <rPh sb="0" eb="2">
      <t>アンゼン</t>
    </rPh>
    <phoneticPr fontId="22"/>
  </si>
  <si>
    <t>竣工段階</t>
  </si>
  <si>
    <t>耐震・免震</t>
    <rPh sb="0" eb="2">
      <t>タイシン</t>
    </rPh>
    <rPh sb="3" eb="4">
      <t>メン</t>
    </rPh>
    <rPh sb="4" eb="5">
      <t>シン</t>
    </rPh>
    <phoneticPr fontId="22"/>
  </si>
  <si>
    <t>(Q2-2.1)</t>
    <phoneticPr fontId="22"/>
  </si>
  <si>
    <r>
      <t>2.2</t>
    </r>
    <r>
      <rPr>
        <b/>
        <sz val="12"/>
        <color indexed="12"/>
        <rFont val="ＭＳ Ｐゴシック"/>
        <family val="3"/>
        <charset val="128"/>
      </rPr>
      <t>　防犯対策</t>
    </r>
    <rPh sb="4" eb="6">
      <t>ボウハン</t>
    </rPh>
    <rPh sb="6" eb="8">
      <t>タイサク</t>
    </rPh>
    <phoneticPr fontId="22"/>
  </si>
  <si>
    <t>用途毎に以下の基準を満たすこと。
（１）集合住宅；「千葉県防犯優良マンション認定審査基準」
（２）上記（１）以外の場合；
「Q3/3.1 地域性への配慮、快適性の向上  Ⅵ　防犯性の配慮」が１ポイント</t>
    <rPh sb="57" eb="59">
      <t>バアイ</t>
    </rPh>
    <phoneticPr fontId="22"/>
  </si>
  <si>
    <t>C</t>
    <phoneticPr fontId="22"/>
  </si>
  <si>
    <t>A</t>
    <phoneticPr fontId="22"/>
  </si>
  <si>
    <t>★★★★☆</t>
    <phoneticPr fontId="22"/>
  </si>
  <si>
    <t>総合評価</t>
    <rPh sb="0" eb="4">
      <t>ソウゴウヒョウカ</t>
    </rPh>
    <phoneticPr fontId="22"/>
  </si>
  <si>
    <t>★★☆☆☆</t>
    <phoneticPr fontId="22"/>
  </si>
  <si>
    <t>★★★☆☆</t>
    <phoneticPr fontId="22"/>
  </si>
  <si>
    <t>届出年月日</t>
    <rPh sb="0" eb="2">
      <t>トドケデ</t>
    </rPh>
    <rPh sb="2" eb="5">
      <t>ネンガッピ</t>
    </rPh>
    <phoneticPr fontId="22"/>
  </si>
  <si>
    <t>←現状は直接入力</t>
    <rPh sb="1" eb="3">
      <t>ゲンジョウ</t>
    </rPh>
    <rPh sb="4" eb="6">
      <t>チョクセツ</t>
    </rPh>
    <rPh sb="6" eb="8">
      <t>ニュウリョク</t>
    </rPh>
    <phoneticPr fontId="22"/>
  </si>
  <si>
    <t>★☆☆☆☆</t>
    <phoneticPr fontId="22"/>
  </si>
  <si>
    <t>=VALUE(TEXT(N1,"yyyy"))</t>
    <phoneticPr fontId="22"/>
  </si>
  <si>
    <t>　　■使用評価マニュアル：</t>
    <phoneticPr fontId="22"/>
  </si>
  <si>
    <t>■使用評価ソフト：</t>
    <phoneticPr fontId="22"/>
  </si>
  <si>
    <t>S</t>
    <phoneticPr fontId="22"/>
  </si>
  <si>
    <t>★★★★★</t>
    <phoneticPr fontId="22"/>
  </si>
  <si>
    <t>1　建物概要</t>
    <rPh sb="2" eb="3">
      <t>ケン</t>
    </rPh>
    <rPh sb="3" eb="4">
      <t>モノ</t>
    </rPh>
    <rPh sb="4" eb="6">
      <t>ガイヨウ</t>
    </rPh>
    <phoneticPr fontId="22"/>
  </si>
  <si>
    <t xml:space="preserve">建物名称 </t>
    <rPh sb="0" eb="2">
      <t>タテモノ</t>
    </rPh>
    <rPh sb="2" eb="4">
      <t>メイショウ</t>
    </rPh>
    <phoneticPr fontId="22"/>
  </si>
  <si>
    <r>
      <t>建築物の環境効率　　　　　　　　　　　　　　</t>
    </r>
    <r>
      <rPr>
        <sz val="12"/>
        <rFont val="ＭＳ Ｐゴシック"/>
        <family val="3"/>
        <charset val="128"/>
      </rPr>
      <t>（ＢＥＥランク）</t>
    </r>
    <rPh sb="0" eb="3">
      <t>ケンチクブツ</t>
    </rPh>
    <rPh sb="4" eb="6">
      <t>カンキョウ</t>
    </rPh>
    <rPh sb="6" eb="8">
      <t>コウリツ</t>
    </rPh>
    <phoneticPr fontId="22"/>
  </si>
  <si>
    <t>すばらしい</t>
  </si>
  <si>
    <t>ふつう</t>
  </si>
  <si>
    <t>がんばろう</t>
  </si>
  <si>
    <t>2　重点項目への取組み度</t>
    <rPh sb="2" eb="4">
      <t>ジュウテン</t>
    </rPh>
    <rPh sb="4" eb="6">
      <t>コウモク</t>
    </rPh>
    <rPh sb="8" eb="10">
      <t>トリク</t>
    </rPh>
    <rPh sb="11" eb="12">
      <t>ド</t>
    </rPh>
    <phoneticPr fontId="22"/>
  </si>
  <si>
    <t>重点項目のスコア</t>
    <rPh sb="0" eb="2">
      <t>ジュウテン</t>
    </rPh>
    <rPh sb="2" eb="4">
      <t>コウモク</t>
    </rPh>
    <phoneticPr fontId="22"/>
  </si>
  <si>
    <t>点以上</t>
  </si>
  <si>
    <t>点未満</t>
  </si>
  <si>
    <t>重　点　項　目</t>
    <rPh sb="0" eb="1">
      <t>シゲル</t>
    </rPh>
    <rPh sb="2" eb="3">
      <t>テン</t>
    </rPh>
    <rPh sb="4" eb="5">
      <t>コウ</t>
    </rPh>
    <rPh sb="6" eb="7">
      <t>メ</t>
    </rPh>
    <phoneticPr fontId="22"/>
  </si>
  <si>
    <t>取　組　み　度　※　（得点/満点）</t>
    <phoneticPr fontId="22"/>
  </si>
  <si>
    <t>評　価　結　果</t>
    <rPh sb="4" eb="5">
      <t>ムスブ</t>
    </rPh>
    <rPh sb="6" eb="7">
      <t>ハタシ</t>
    </rPh>
    <phoneticPr fontId="22"/>
  </si>
  <si>
    <t>K1　</t>
    <phoneticPr fontId="22"/>
  </si>
  <si>
    <t>地球環境にやさしい
社会をつくる</t>
    <phoneticPr fontId="22"/>
  </si>
  <si>
    <t>/ 5.0</t>
    <phoneticPr fontId="22"/>
  </si>
  <si>
    <t>K2　</t>
    <phoneticPr fontId="22"/>
  </si>
  <si>
    <t>うるおいのある
景観をつくる</t>
    <phoneticPr fontId="22"/>
  </si>
  <si>
    <t>Score</t>
  </si>
  <si>
    <t>K3　</t>
    <phoneticPr fontId="22"/>
  </si>
  <si>
    <t>安全で健康な
生活環境をつくる</t>
    <phoneticPr fontId="22"/>
  </si>
  <si>
    <t>K1-1　省エネ型まちづくり</t>
    <phoneticPr fontId="22"/>
  </si>
  <si>
    <t>K1-2
循環型まちづくり</t>
    <phoneticPr fontId="22"/>
  </si>
  <si>
    <t>　すばらしい
　4点以上</t>
    <phoneticPr fontId="22"/>
  </si>
  <si>
    <t>　ふつう
　3点以上</t>
    <phoneticPr fontId="22"/>
  </si>
  <si>
    <t>　がんばろう
　3点未満</t>
    <rPh sb="9" eb="10">
      <t>テン</t>
    </rPh>
    <rPh sb="10" eb="12">
      <t>ミマン</t>
    </rPh>
    <phoneticPr fontId="22"/>
  </si>
  <si>
    <t>K2-1
緑豊なまちなみ</t>
    <phoneticPr fontId="22"/>
  </si>
  <si>
    <t>　</t>
    <phoneticPr fontId="22"/>
  </si>
  <si>
    <t>K2-2
魅力ある景観</t>
    <phoneticPr fontId="22"/>
  </si>
  <si>
    <t>K3-1
健康な暮らし</t>
    <phoneticPr fontId="22"/>
  </si>
  <si>
    <t>K3-2
安全な暮らし</t>
    <phoneticPr fontId="22"/>
  </si>
  <si>
    <t>3.　中項目の評価（バーチャート）</t>
    <rPh sb="3" eb="4">
      <t>ナカ</t>
    </rPh>
    <rPh sb="4" eb="6">
      <t>コウモク</t>
    </rPh>
    <rPh sb="7" eb="9">
      <t>ヒョウカ</t>
    </rPh>
    <phoneticPr fontId="22"/>
  </si>
  <si>
    <t>K：　柏市の重点項目</t>
    <rPh sb="3" eb="5">
      <t>カシワシ</t>
    </rPh>
    <rPh sb="6" eb="8">
      <t>ジュウテン</t>
    </rPh>
    <rPh sb="8" eb="10">
      <t>コウモク</t>
    </rPh>
    <phoneticPr fontId="22"/>
  </si>
  <si>
    <t>4.　設計上の配慮事項</t>
    <rPh sb="3" eb="5">
      <t>セッケイ</t>
    </rPh>
    <rPh sb="5" eb="6">
      <t>ジョウ</t>
    </rPh>
    <rPh sb="7" eb="9">
      <t>ハイリョ</t>
    </rPh>
    <rPh sb="9" eb="11">
      <t>ジコウ</t>
    </rPh>
    <phoneticPr fontId="22"/>
  </si>
  <si>
    <t>1.　省エネ型まちづくり</t>
    <phoneticPr fontId="22"/>
  </si>
  <si>
    <t>項目</t>
  </si>
  <si>
    <t>スコア</t>
  </si>
  <si>
    <t>重み</t>
  </si>
  <si>
    <t>※1.1～1.4の評価項目の各得点（評価レベル）を加重平均した数値</t>
    <rPh sb="9" eb="11">
      <t>ヒョウカ</t>
    </rPh>
    <rPh sb="11" eb="13">
      <t>コウモク</t>
    </rPh>
    <rPh sb="14" eb="15">
      <t>カク</t>
    </rPh>
    <rPh sb="15" eb="17">
      <t>トクテン</t>
    </rPh>
    <rPh sb="18" eb="20">
      <t>ヒョウカ</t>
    </rPh>
    <rPh sb="25" eb="27">
      <t>カジュウ</t>
    </rPh>
    <rPh sb="27" eb="29">
      <t>ヘイキン</t>
    </rPh>
    <rPh sb="31" eb="33">
      <t>スウチ</t>
    </rPh>
    <phoneticPr fontId="22"/>
  </si>
  <si>
    <t>1.1 建物の熱負荷抑制（LR1-1)</t>
    <phoneticPr fontId="22"/>
  </si>
  <si>
    <t>&lt;加重平均に用いる重み係数&gt;</t>
    <rPh sb="1" eb="3">
      <t>カジュウ</t>
    </rPh>
    <rPh sb="3" eb="5">
      <t>ヘイキン</t>
    </rPh>
    <rPh sb="6" eb="7">
      <t>モチ</t>
    </rPh>
    <rPh sb="9" eb="10">
      <t>オモ</t>
    </rPh>
    <rPh sb="11" eb="13">
      <t>ケイスウ</t>
    </rPh>
    <phoneticPr fontId="22"/>
  </si>
  <si>
    <t>1.1　建物の熱負荷抑制</t>
  </si>
  <si>
    <t>「LR1/1　建物の熱負荷抑制」の評価レベルとする。</t>
  </si>
  <si>
    <t>1.2 自然エネルギーの利用（LR1-2)</t>
    <phoneticPr fontId="22"/>
  </si>
  <si>
    <t>・CASBEE新築（簡易版）で設定されている用途毎の重み係数。</t>
    <rPh sb="7" eb="8">
      <t>シン</t>
    </rPh>
    <rPh sb="8" eb="9">
      <t>チク</t>
    </rPh>
    <rPh sb="10" eb="13">
      <t>カンイバン</t>
    </rPh>
    <rPh sb="15" eb="17">
      <t>セッテイ</t>
    </rPh>
    <rPh sb="22" eb="24">
      <t>ヨウト</t>
    </rPh>
    <rPh sb="24" eb="25">
      <t>ゴト</t>
    </rPh>
    <rPh sb="26" eb="27">
      <t>オモ</t>
    </rPh>
    <rPh sb="28" eb="30">
      <t>ケイスウ</t>
    </rPh>
    <phoneticPr fontId="22"/>
  </si>
  <si>
    <t>1.2　自然エネルギーの利用</t>
  </si>
  <si>
    <t>「LR1/2　自然エネルギーの利用」の評価レベルとする。</t>
  </si>
  <si>
    <t>1.3 設備システムの高効率化（LR1-3)</t>
    <phoneticPr fontId="22"/>
  </si>
  <si>
    <t>1.3　設備システムの高効率化</t>
  </si>
  <si>
    <t>「LR1/3　設備システムの高効率化」の評価レベルとする。</t>
  </si>
  <si>
    <t>1.4 効率的な運用（LR1-4)</t>
    <phoneticPr fontId="22"/>
  </si>
  <si>
    <t>1.4　効率的な運用</t>
  </si>
  <si>
    <t>「LR1/4　効率的な運用」の評価レベルとする。</t>
  </si>
  <si>
    <t>2.　循環型まちづくり</t>
    <phoneticPr fontId="22"/>
  </si>
  <si>
    <t>※2.1～2.4の評価項目の各得点（評価レベル）を加重平均した数値とします。</t>
    <rPh sb="9" eb="11">
      <t>ヒョウカ</t>
    </rPh>
    <rPh sb="11" eb="13">
      <t>コウモク</t>
    </rPh>
    <rPh sb="14" eb="15">
      <t>カク</t>
    </rPh>
    <rPh sb="15" eb="17">
      <t>トクテン</t>
    </rPh>
    <rPh sb="18" eb="20">
      <t>ヒョウカ</t>
    </rPh>
    <rPh sb="25" eb="27">
      <t>カジュウ</t>
    </rPh>
    <rPh sb="27" eb="29">
      <t>ヘイキン</t>
    </rPh>
    <rPh sb="31" eb="33">
      <t>スウチ</t>
    </rPh>
    <phoneticPr fontId="22"/>
  </si>
  <si>
    <t>2.1 雨水利用・雑排水再利用（LR2-1.1)</t>
    <phoneticPr fontId="22"/>
  </si>
  <si>
    <t>2.1　雨水利用・雑排水再利用</t>
  </si>
  <si>
    <t>「LR2/1.2　雨水利用・雑排水再利用」の評価レベルとする。</t>
  </si>
  <si>
    <t>2.2 雨水排水負荷抑制（LR3-2.3.1)</t>
    <phoneticPr fontId="22"/>
  </si>
  <si>
    <t>　2.1　→</t>
    <phoneticPr fontId="22"/>
  </si>
  <si>
    <t>2.2　雨水排水負荷抑制</t>
  </si>
  <si>
    <t>「LR3/2.3.1　雨水排水負荷抑制」の評価レベルとする。</t>
  </si>
  <si>
    <t>2.3 非再生性資源の使用量削減（LR2-2)</t>
    <rPh sb="4" eb="5">
      <t>ヒ</t>
    </rPh>
    <rPh sb="5" eb="8">
      <t>サイセイセイ</t>
    </rPh>
    <rPh sb="8" eb="10">
      <t>シゲン</t>
    </rPh>
    <rPh sb="11" eb="14">
      <t>シヨウリョウ</t>
    </rPh>
    <rPh sb="14" eb="16">
      <t>サクゲン</t>
    </rPh>
    <phoneticPr fontId="22"/>
  </si>
  <si>
    <t>　2.2　→</t>
  </si>
  <si>
    <t>2.3　非再生性資源の使用量削減</t>
  </si>
  <si>
    <t>「LR2/2　非再生性資源の使用量削減」の評価レベルとする。</t>
  </si>
  <si>
    <t>2.4 廃棄物処理負荷抑制（LR3-2.3.4)</t>
    <phoneticPr fontId="22"/>
  </si>
  <si>
    <t>　2.3　→</t>
  </si>
  <si>
    <t>2.4　廃棄物処理負荷抑制</t>
  </si>
  <si>
    <t>「LR3/2.3.4　廃棄物処理負荷抑制」の評価レベルとする。</t>
  </si>
  <si>
    <t>　2.4　→</t>
  </si>
  <si>
    <t>※Q3/1　生物資源の保全と創出の採点レベル</t>
  </si>
  <si>
    <t>1.1 生物資源の保全と創出（Q3-1)</t>
    <phoneticPr fontId="22"/>
  </si>
  <si>
    <t>1.1　生物資源の保全と創出</t>
  </si>
  <si>
    <t>「Q3/1　生物資源の保全と創出」の評価レベルとする。</t>
  </si>
  <si>
    <t>2.　魅力ある景観</t>
    <phoneticPr fontId="22"/>
  </si>
  <si>
    <t>項目</t>
    <phoneticPr fontId="22"/>
  </si>
  <si>
    <t>※2.1の評価項目の得点（評価レベル）に、2.2、2.3における取り組み状況を加点（+1レベル）する。</t>
    <rPh sb="5" eb="7">
      <t>ヒョウカ</t>
    </rPh>
    <rPh sb="7" eb="9">
      <t>コウモク</t>
    </rPh>
    <rPh sb="10" eb="12">
      <t>トクテン</t>
    </rPh>
    <rPh sb="13" eb="15">
      <t>ヒョウカ</t>
    </rPh>
    <rPh sb="32" eb="33">
      <t>ト</t>
    </rPh>
    <rPh sb="34" eb="35">
      <t>ク</t>
    </rPh>
    <rPh sb="36" eb="38">
      <t>ジョウキョウ</t>
    </rPh>
    <rPh sb="39" eb="41">
      <t>カテン</t>
    </rPh>
    <phoneticPr fontId="22"/>
  </si>
  <si>
    <t>2.1 まちなみ・景観への配慮（Q3-2)</t>
    <phoneticPr fontId="22"/>
  </si>
  <si>
    <t>設置の有無</t>
    <rPh sb="0" eb="2">
      <t>セッチ</t>
    </rPh>
    <rPh sb="3" eb="5">
      <t>ウム</t>
    </rPh>
    <phoneticPr fontId="22"/>
  </si>
  <si>
    <t>2.2 水空間の創出</t>
    <phoneticPr fontId="22"/>
  </si>
  <si>
    <t>2.1　まちなみ・景観への配慮</t>
  </si>
  <si>
    <t>「Q3/3.2まちなみ・景観への配慮」の評価レベルとする。</t>
  </si>
  <si>
    <t>緑視率の確保</t>
    <rPh sb="0" eb="1">
      <t>リョク</t>
    </rPh>
    <rPh sb="1" eb="2">
      <t>シ</t>
    </rPh>
    <rPh sb="2" eb="3">
      <t>リツ</t>
    </rPh>
    <rPh sb="4" eb="6">
      <t>カクホ</t>
    </rPh>
    <phoneticPr fontId="22"/>
  </si>
  <si>
    <t xml:space="preserve">2.3　道路沿いの緑化 </t>
    <phoneticPr fontId="22"/>
  </si>
  <si>
    <t>2.2　水空間の創出★</t>
  </si>
  <si>
    <t>次の取組みのいずれかを実施している場合、１レベル加点とする。</t>
  </si>
  <si>
    <t>2.3　道路沿いの緑化★</t>
  </si>
  <si>
    <t>沿道からの緑視率が２５％以上ある場合、１レベル加点とする。</t>
  </si>
  <si>
    <t>1.　健康な暮らし</t>
    <phoneticPr fontId="22"/>
  </si>
  <si>
    <t>※1.1～1.2の評価項目の各得点（評価レベル）を加重平均した数値</t>
    <rPh sb="9" eb="11">
      <t>ヒョウカ</t>
    </rPh>
    <rPh sb="11" eb="13">
      <t>コウモク</t>
    </rPh>
    <rPh sb="14" eb="15">
      <t>カク</t>
    </rPh>
    <rPh sb="15" eb="17">
      <t>トクテン</t>
    </rPh>
    <rPh sb="18" eb="20">
      <t>ヒョウカ</t>
    </rPh>
    <rPh sb="25" eb="27">
      <t>カジュウ</t>
    </rPh>
    <rPh sb="27" eb="29">
      <t>ヘイキン</t>
    </rPh>
    <rPh sb="31" eb="33">
      <t>スウチ</t>
    </rPh>
    <phoneticPr fontId="22"/>
  </si>
  <si>
    <t>1.1 空気質環境（Q1-4)</t>
    <phoneticPr fontId="22"/>
  </si>
  <si>
    <t>1.1　空気質環境</t>
  </si>
  <si>
    <t>「Q1/4空気質環境」の評価レベルとする。</t>
  </si>
  <si>
    <t>1.2 バリアフリー計画（Q2-1.1.3)</t>
    <phoneticPr fontId="22"/>
  </si>
  <si>
    <t>　1.1　→</t>
    <phoneticPr fontId="22"/>
  </si>
  <si>
    <t>1.2　バリアフリー計画</t>
  </si>
  <si>
    <t>「Q2/1.1.3バリアフリー計画」の評価レベルとする。</t>
  </si>
  <si>
    <t>　1.2　→</t>
    <phoneticPr fontId="22"/>
  </si>
  <si>
    <t>2.　安全な暮らし</t>
    <phoneticPr fontId="22"/>
  </si>
  <si>
    <t>※2.1の評価項目の得点（評価レベル）に、2.2における取り組み状況を加点（+1レベル）する。</t>
    <rPh sb="5" eb="7">
      <t>ヒョウカ</t>
    </rPh>
    <rPh sb="7" eb="9">
      <t>コウモク</t>
    </rPh>
    <rPh sb="10" eb="12">
      <t>トクテン</t>
    </rPh>
    <rPh sb="13" eb="15">
      <t>ヒョウカ</t>
    </rPh>
    <rPh sb="28" eb="29">
      <t>ト</t>
    </rPh>
    <rPh sb="30" eb="31">
      <t>ク</t>
    </rPh>
    <rPh sb="32" eb="34">
      <t>ジョウキョウ</t>
    </rPh>
    <rPh sb="35" eb="37">
      <t>カテン</t>
    </rPh>
    <phoneticPr fontId="22"/>
  </si>
  <si>
    <t>2.1 耐震・免震（Q2-2.1)</t>
    <phoneticPr fontId="22"/>
  </si>
  <si>
    <t>2.1　耐震・免震</t>
  </si>
  <si>
    <t>「Q2/2.1耐震・免震」の評価レベルとする。</t>
  </si>
  <si>
    <t>防犯性の配慮</t>
    <rPh sb="0" eb="3">
      <t>ボウハンセイ</t>
    </rPh>
    <rPh sb="4" eb="6">
      <t>ハイリョ</t>
    </rPh>
    <phoneticPr fontId="22"/>
  </si>
  <si>
    <t>2.2 防犯対策</t>
  </si>
  <si>
    <t>2.2　防犯対策★</t>
  </si>
  <si>
    <t>用途毎に以下の基準を満たす場合、１レベル加点する。</t>
  </si>
  <si>
    <t xml:space="preserve">・断熱性能を高めて省エネ型まちづくりに配慮する
</t>
  </si>
  <si>
    <t xml:space="preserve">・廃棄物保管スペースの確保や分別回収容器の設置により循環型まちづくりに配慮する
</t>
  </si>
  <si>
    <t xml:space="preserve">・緑地を可能な限り豊富に設け敷地内のみどり豊なまちなみに配慮する
</t>
  </si>
  <si>
    <t xml:space="preserve">・緑地による良好な景観を形成することで魅力ある景観に配慮する
</t>
  </si>
  <si>
    <t>・バリアフリー新法の円滑化基準を満足することにより、健康な暮らしに配慮する</t>
  </si>
  <si>
    <t>v.1.3</t>
  </si>
  <si>
    <t>年度</t>
    <rPh sb="0" eb="2">
      <t>ネンド</t>
    </rPh>
    <phoneticPr fontId="22"/>
  </si>
  <si>
    <t>受付番号</t>
    <rPh sb="0" eb="2">
      <t>ウケツケ</t>
    </rPh>
    <rPh sb="2" eb="4">
      <t>バンゴウ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</si>
</sst>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 numFmtId="210" formatCode="#&quot; ポイント&quot;;0.0;&quot;0 ポイント&quot;"/>
    <numFmt numFmtId="211" formatCode="000"/>
  </numFmts>
  <fonts count="208">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8"/>
      <name val="ＭＳ Ｐゴシック"/>
      <family val="3"/>
      <charset val="128"/>
    </font>
    <font>
      <b/>
      <sz val="12"/>
      <color indexed="12"/>
      <name val="Arial"/>
      <family val="2"/>
    </font>
    <font>
      <b/>
      <sz val="12"/>
      <color indexed="12"/>
      <name val="ＭＳ Ｐゴシック"/>
      <family val="3"/>
      <charset val="128"/>
    </font>
    <font>
      <b/>
      <sz val="9"/>
      <color indexed="12"/>
      <name val="ＭＳ Ｐゴシック"/>
      <family val="3"/>
      <charset val="128"/>
    </font>
    <font>
      <sz val="26"/>
      <color indexed="10"/>
      <name val="ＭＳ Ｐゴシック"/>
      <family val="3"/>
      <charset val="128"/>
    </font>
    <font>
      <b/>
      <sz val="13"/>
      <color indexed="9"/>
      <name val="ＭＳ Ｐゴシック"/>
      <family val="3"/>
      <charset val="128"/>
    </font>
    <font>
      <b/>
      <sz val="15"/>
      <name val="ＭＳ Ｐゴシック"/>
      <family val="3"/>
      <charset val="128"/>
    </font>
    <font>
      <sz val="15"/>
      <name val="ＭＳ Ｐゴシック"/>
      <family val="3"/>
      <charset val="128"/>
    </font>
    <font>
      <b/>
      <sz val="11"/>
      <name val="HG丸ｺﾞｼｯｸM-PRO"/>
      <family val="3"/>
      <charset val="128"/>
    </font>
    <font>
      <b/>
      <sz val="13"/>
      <name val="ＭＳ Ｐゴシック"/>
      <family val="3"/>
      <charset val="128"/>
    </font>
    <font>
      <b/>
      <sz val="13"/>
      <color indexed="47"/>
      <name val="ＭＳ Ｐゴシック"/>
      <family val="3"/>
      <charset val="128"/>
    </font>
    <font>
      <b/>
      <sz val="13"/>
      <color indexed="42"/>
      <name val="ＭＳ Ｐゴシック"/>
      <family val="3"/>
      <charset val="128"/>
    </font>
    <font>
      <b/>
      <sz val="13"/>
      <color indexed="43"/>
      <name val="ＭＳ Ｐゴシック"/>
      <family val="3"/>
      <charset val="128"/>
    </font>
    <font>
      <sz val="11"/>
      <name val="ＭＳ Ｐゴシック"/>
      <family val="3"/>
      <charset val="128"/>
      <scheme val="minor"/>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43"/>
        <bgColor indexed="64"/>
      </patternFill>
    </fill>
    <fill>
      <patternFill patternType="solid">
        <fgColor rgb="FFFFFFFF"/>
        <bgColor indexed="64"/>
      </patternFill>
    </fill>
  </fills>
  <borders count="2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style="medium">
        <color indexed="10"/>
      </top>
      <bottom style="medium">
        <color indexed="10"/>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xf numFmtId="0" fontId="34" fillId="0" borderId="0">
      <alignment vertical="center"/>
    </xf>
  </cellStyleXfs>
  <cellXfs count="3889">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2" fontId="126" fillId="50" borderId="10" xfId="35" applyNumberFormat="1" applyFont="1" applyFill="1" applyBorder="1" applyAlignment="1" applyProtection="1">
      <alignment horizontal="center" vertical="center"/>
      <protection hidden="1"/>
    </xf>
    <xf numFmtId="2" fontId="34"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29" fillId="27" borderId="51" xfId="0" applyFont="1" applyFill="1" applyBorder="1" applyAlignment="1" applyProtection="1">
      <alignment horizontal="center" vertical="center" wrapText="1"/>
      <protection hidden="1"/>
    </xf>
    <xf numFmtId="0" fontId="29" fillId="27" borderId="52" xfId="0" applyFont="1" applyFill="1" applyBorder="1" applyAlignment="1" applyProtection="1">
      <alignment horizontal="center" vertical="center" wrapText="1"/>
      <protection hidden="1"/>
    </xf>
    <xf numFmtId="0" fontId="34" fillId="0" borderId="0" xfId="0" applyFont="1" applyFill="1" applyAlignment="1" applyProtection="1">
      <alignment vertical="center"/>
      <protection hidden="1"/>
    </xf>
    <xf numFmtId="0" fontId="34" fillId="0" borderId="10" xfId="0" applyFont="1" applyFill="1" applyBorder="1" applyAlignment="1" applyProtection="1">
      <alignment vertical="center"/>
      <protection hidden="1"/>
    </xf>
    <xf numFmtId="0" fontId="0" fillId="0" borderId="0" xfId="0" applyProtection="1">
      <alignment vertical="center"/>
      <protection hidden="1"/>
    </xf>
    <xf numFmtId="0" fontId="34" fillId="0" borderId="0" xfId="49" applyProtection="1">
      <alignment vertical="center"/>
    </xf>
    <xf numFmtId="0" fontId="34" fillId="0" borderId="0" xfId="49" applyFill="1" applyAlignment="1" applyProtection="1">
      <alignment horizontal="center" vertical="center"/>
    </xf>
    <xf numFmtId="0" fontId="194" fillId="0" borderId="0" xfId="49" applyFont="1" applyProtection="1">
      <alignment vertical="center"/>
    </xf>
    <xf numFmtId="0" fontId="29" fillId="0" borderId="0" xfId="0" applyFont="1" applyFill="1" applyBorder="1" applyAlignment="1" applyProtection="1">
      <alignment horizontal="right" vertical="center"/>
    </xf>
    <xf numFmtId="0" fontId="64" fillId="33" borderId="59" xfId="0" applyFont="1" applyFill="1" applyBorder="1" applyAlignment="1" applyProtection="1">
      <alignment horizontal="left" vertical="center"/>
    </xf>
    <xf numFmtId="0" fontId="64" fillId="33" borderId="60" xfId="49" applyFont="1" applyFill="1" applyBorder="1" applyAlignment="1" applyProtection="1">
      <alignment vertical="center"/>
    </xf>
    <xf numFmtId="0" fontId="64" fillId="33" borderId="61" xfId="0" applyFont="1" applyFill="1" applyBorder="1" applyAlignment="1" applyProtection="1">
      <alignment horizontal="right" vertical="center"/>
    </xf>
    <xf numFmtId="0" fontId="7" fillId="71" borderId="62" xfId="0" applyNumberFormat="1" applyFont="1" applyFill="1" applyBorder="1" applyAlignment="1" applyProtection="1">
      <alignment vertical="center"/>
    </xf>
    <xf numFmtId="0" fontId="24" fillId="71" borderId="0" xfId="0" applyFont="1" applyFill="1" applyBorder="1" applyAlignment="1" applyProtection="1">
      <alignment vertical="center"/>
    </xf>
    <xf numFmtId="0" fontId="67" fillId="71" borderId="63" xfId="0" applyFont="1" applyFill="1" applyBorder="1" applyAlignment="1" applyProtection="1">
      <alignment horizontal="center" vertical="center"/>
    </xf>
    <xf numFmtId="0" fontId="7" fillId="72" borderId="199" xfId="0" applyNumberFormat="1" applyFont="1" applyFill="1" applyBorder="1" applyAlignment="1" applyProtection="1">
      <alignment vertical="center"/>
    </xf>
    <xf numFmtId="0" fontId="24" fillId="72" borderId="179" xfId="0" applyFont="1" applyFill="1" applyBorder="1" applyAlignment="1" applyProtection="1">
      <alignment vertical="center"/>
    </xf>
    <xf numFmtId="0" fontId="67" fillId="72" borderId="241" xfId="0" applyFont="1" applyFill="1" applyBorder="1" applyAlignment="1" applyProtection="1">
      <alignment horizontal="center" vertical="center"/>
    </xf>
    <xf numFmtId="0" fontId="64" fillId="33" borderId="62" xfId="0" applyFont="1" applyFill="1" applyBorder="1" applyAlignment="1" applyProtection="1">
      <alignment horizontal="left" vertical="center"/>
    </xf>
    <xf numFmtId="0" fontId="64" fillId="33" borderId="0" xfId="49" applyFont="1" applyFill="1" applyBorder="1" applyAlignment="1" applyProtection="1">
      <alignment vertical="center"/>
    </xf>
    <xf numFmtId="0" fontId="64" fillId="33" borderId="63" xfId="0" applyFont="1" applyFill="1" applyBorder="1" applyAlignment="1" applyProtection="1">
      <alignment horizontal="right" vertical="center"/>
    </xf>
    <xf numFmtId="0" fontId="7" fillId="43" borderId="62" xfId="0" applyNumberFormat="1" applyFont="1" applyFill="1" applyBorder="1" applyAlignment="1" applyProtection="1">
      <alignment vertical="center"/>
    </xf>
    <xf numFmtId="0" fontId="24" fillId="43" borderId="0" xfId="0" applyFont="1" applyFill="1" applyBorder="1" applyAlignment="1" applyProtection="1">
      <alignment vertical="center"/>
    </xf>
    <xf numFmtId="0" fontId="67" fillId="43" borderId="63" xfId="0" applyFont="1" applyFill="1" applyBorder="1" applyAlignment="1" applyProtection="1">
      <alignment horizontal="center" vertical="center"/>
    </xf>
    <xf numFmtId="0" fontId="7" fillId="73" borderId="199" xfId="0" applyNumberFormat="1" applyFont="1" applyFill="1" applyBorder="1" applyAlignment="1" applyProtection="1">
      <alignment vertical="center"/>
    </xf>
    <xf numFmtId="0" fontId="24" fillId="73" borderId="179" xfId="0" applyFont="1" applyFill="1" applyBorder="1" applyAlignment="1" applyProtection="1">
      <alignment vertical="center"/>
    </xf>
    <xf numFmtId="0" fontId="67" fillId="73" borderId="241" xfId="0" applyFont="1" applyFill="1" applyBorder="1" applyAlignment="1" applyProtection="1">
      <alignment horizontal="center" vertical="center"/>
    </xf>
    <xf numFmtId="0" fontId="64" fillId="33" borderId="89" xfId="0" applyFont="1" applyFill="1" applyBorder="1" applyAlignment="1" applyProtection="1">
      <alignment horizontal="left" vertical="center"/>
    </xf>
    <xf numFmtId="0" fontId="64" fillId="33" borderId="53" xfId="49" applyFont="1" applyFill="1" applyBorder="1" applyAlignment="1" applyProtection="1">
      <alignment vertical="center"/>
    </xf>
    <xf numFmtId="0" fontId="64" fillId="33" borderId="90" xfId="0" applyFont="1" applyFill="1" applyBorder="1" applyAlignment="1" applyProtection="1">
      <alignment horizontal="right" vertical="center"/>
    </xf>
    <xf numFmtId="0" fontId="7" fillId="25" borderId="62" xfId="0" applyNumberFormat="1" applyFont="1" applyFill="1" applyBorder="1" applyAlignment="1" applyProtection="1">
      <alignment vertical="center"/>
    </xf>
    <xf numFmtId="0" fontId="24" fillId="25" borderId="0" xfId="0" applyFont="1" applyFill="1" applyBorder="1" applyAlignment="1" applyProtection="1">
      <alignment vertical="center"/>
    </xf>
    <xf numFmtId="0" fontId="67" fillId="25" borderId="63" xfId="0" applyFont="1" applyFill="1" applyBorder="1" applyAlignment="1" applyProtection="1">
      <alignment horizontal="center" vertical="center"/>
    </xf>
    <xf numFmtId="0" fontId="7" fillId="74" borderId="199" xfId="0" applyNumberFormat="1" applyFont="1" applyFill="1" applyBorder="1" applyAlignment="1" applyProtection="1">
      <alignment vertical="center"/>
    </xf>
    <xf numFmtId="0" fontId="24" fillId="74" borderId="179" xfId="0" applyFont="1" applyFill="1" applyBorder="1" applyAlignment="1" applyProtection="1">
      <alignment vertical="center"/>
    </xf>
    <xf numFmtId="0" fontId="67" fillId="74" borderId="241" xfId="0" applyFont="1" applyFill="1" applyBorder="1" applyAlignment="1" applyProtection="1">
      <alignment horizontal="center" vertical="center"/>
    </xf>
    <xf numFmtId="0" fontId="34" fillId="0" borderId="0" xfId="49" applyFont="1" applyProtection="1">
      <alignment vertical="center"/>
    </xf>
    <xf numFmtId="0" fontId="150" fillId="0" borderId="0" xfId="0" applyFont="1" applyFill="1" applyAlignment="1" applyProtection="1">
      <alignment horizontal="center" vertical="center"/>
      <protection hidden="1"/>
    </xf>
    <xf numFmtId="0" fontId="7" fillId="0" borderId="0" xfId="0" applyFont="1" applyAlignment="1" applyProtection="1">
      <alignment vertical="center"/>
      <protection hidden="1"/>
    </xf>
    <xf numFmtId="0" fontId="149" fillId="0" borderId="0" xfId="0" applyFont="1" applyProtection="1">
      <alignment vertical="center"/>
      <protection hidden="1"/>
    </xf>
    <xf numFmtId="0" fontId="34" fillId="0" borderId="0" xfId="0" applyFont="1" applyAlignment="1" applyProtection="1">
      <alignment horizontal="right" vertical="center"/>
      <protection hidden="1"/>
    </xf>
    <xf numFmtId="0" fontId="34" fillId="0" borderId="0" xfId="0" applyFont="1" applyFill="1" applyAlignment="1" applyProtection="1">
      <alignment horizontal="center" vertical="center"/>
      <protection hidden="1"/>
    </xf>
    <xf numFmtId="0" fontId="150" fillId="0" borderId="0" xfId="0" applyFont="1" applyAlignment="1" applyProtection="1">
      <alignment horizontal="center" vertical="center"/>
      <protection hidden="1"/>
    </xf>
    <xf numFmtId="0" fontId="150" fillId="0" borderId="0" xfId="0" applyFont="1" applyFill="1" applyBorder="1" applyAlignment="1" applyProtection="1">
      <alignment horizontal="center" vertical="center"/>
      <protection hidden="1"/>
    </xf>
    <xf numFmtId="0" fontId="195" fillId="0" borderId="0" xfId="0" applyFont="1" applyProtection="1">
      <alignment vertical="center"/>
      <protection hidden="1"/>
    </xf>
    <xf numFmtId="0" fontId="27" fillId="0" borderId="0" xfId="0" applyFont="1" applyAlignment="1" applyProtection="1">
      <alignment horizontal="right" vertical="center"/>
      <protection hidden="1"/>
    </xf>
    <xf numFmtId="0" fontId="0" fillId="0" borderId="0" xfId="0" applyBorder="1" applyAlignment="1">
      <alignment vertical="center"/>
    </xf>
    <xf numFmtId="0" fontId="27" fillId="0" borderId="0" xfId="0" applyFont="1" applyProtection="1">
      <alignment vertical="center"/>
      <protection hidden="1"/>
    </xf>
    <xf numFmtId="203" fontId="24" fillId="41" borderId="144" xfId="0" applyNumberFormat="1" applyFont="1" applyFill="1" applyBorder="1" applyAlignment="1" applyProtection="1">
      <alignment horizontal="center" vertical="center"/>
      <protection locked="0" hidden="1"/>
    </xf>
    <xf numFmtId="0" fontId="195" fillId="0" borderId="0" xfId="0" applyFont="1">
      <alignment vertical="center"/>
    </xf>
    <xf numFmtId="179" fontId="34" fillId="0" borderId="0" xfId="0" applyNumberFormat="1" applyFont="1" applyFill="1" applyAlignment="1" applyProtection="1">
      <alignment vertical="center"/>
      <protection hidden="1"/>
    </xf>
    <xf numFmtId="0" fontId="27" fillId="0" borderId="0" xfId="0" applyFont="1" applyFill="1" applyBorder="1" applyProtection="1">
      <alignment vertical="center"/>
      <protection hidden="1"/>
    </xf>
    <xf numFmtId="2" fontId="34" fillId="0" borderId="0" xfId="0" applyNumberFormat="1" applyFont="1" applyFill="1" applyBorder="1" applyAlignment="1" applyProtection="1">
      <alignment vertical="center"/>
      <protection hidden="1"/>
    </xf>
    <xf numFmtId="0" fontId="34" fillId="75" borderId="0" xfId="0" applyFont="1" applyFill="1" applyAlignment="1" applyProtection="1">
      <alignment vertical="center"/>
      <protection hidden="1"/>
    </xf>
    <xf numFmtId="0" fontId="151" fillId="75" borderId="0" xfId="0" applyFont="1" applyFill="1" applyAlignment="1" applyProtection="1">
      <alignment horizontal="center" vertical="center"/>
      <protection hidden="1"/>
    </xf>
    <xf numFmtId="0" fontId="197" fillId="0" borderId="0" xfId="0" applyFont="1" applyAlignment="1" applyProtection="1">
      <alignment horizontal="right" vertical="center"/>
      <protection hidden="1"/>
    </xf>
    <xf numFmtId="210" fontId="24" fillId="41" borderId="144" xfId="0" applyNumberFormat="1" applyFont="1" applyFill="1" applyBorder="1" applyAlignment="1" applyProtection="1">
      <alignment horizontal="center" vertical="center"/>
      <protection locked="0" hidden="1"/>
    </xf>
    <xf numFmtId="0" fontId="34" fillId="0" borderId="0" xfId="49" applyProtection="1">
      <alignment vertical="center"/>
      <protection hidden="1"/>
    </xf>
    <xf numFmtId="0" fontId="34" fillId="0" borderId="0" xfId="49" applyAlignment="1" applyProtection="1">
      <alignment vertical="center"/>
      <protection hidden="1"/>
    </xf>
    <xf numFmtId="0" fontId="34" fillId="0" borderId="0" xfId="49" applyAlignment="1" applyProtection="1">
      <alignment horizontal="center" vertical="center"/>
      <protection hidden="1"/>
    </xf>
    <xf numFmtId="0" fontId="34" fillId="0" borderId="0" xfId="49" applyFill="1" applyAlignment="1" applyProtection="1">
      <alignment horizontal="center" vertical="center"/>
      <protection hidden="1"/>
    </xf>
    <xf numFmtId="0" fontId="34" fillId="0" borderId="0" xfId="49" applyFont="1" applyFill="1" applyBorder="1" applyAlignment="1" applyProtection="1">
      <alignment vertical="center"/>
      <protection hidden="1"/>
    </xf>
    <xf numFmtId="0" fontId="34" fillId="0" borderId="0" xfId="49" applyFont="1" applyFill="1" applyAlignment="1" applyProtection="1">
      <alignment vertical="center"/>
      <protection hidden="1"/>
    </xf>
    <xf numFmtId="0" fontId="34" fillId="0" borderId="10" xfId="49" applyFont="1" applyFill="1" applyBorder="1" applyAlignment="1" applyProtection="1">
      <alignment vertical="center"/>
      <protection hidden="1"/>
    </xf>
    <xf numFmtId="0" fontId="34" fillId="41" borderId="10" xfId="0" applyFont="1" applyFill="1" applyBorder="1" applyAlignment="1" applyProtection="1">
      <alignment vertical="center"/>
      <protection hidden="1"/>
    </xf>
    <xf numFmtId="0" fontId="34" fillId="0" borderId="0" xfId="0" quotePrefix="1" applyFont="1" applyFill="1" applyAlignment="1" applyProtection="1">
      <alignment vertical="center"/>
      <protection hidden="1"/>
    </xf>
    <xf numFmtId="0" fontId="29" fillId="0" borderId="0" xfId="0" applyFont="1" applyFill="1" applyBorder="1" applyAlignment="1" applyProtection="1">
      <alignment horizontal="right" vertical="center"/>
      <protection hidden="1"/>
    </xf>
    <xf numFmtId="0" fontId="34" fillId="0" borderId="0" xfId="0" applyFont="1" applyAlignment="1" applyProtection="1">
      <alignment horizontal="center" vertical="center"/>
      <protection hidden="1"/>
    </xf>
    <xf numFmtId="0" fontId="35" fillId="0" borderId="0" xfId="49" applyFont="1" applyAlignment="1" applyProtection="1">
      <alignment horizontal="left" vertical="center"/>
      <protection hidden="1"/>
    </xf>
    <xf numFmtId="0" fontId="35" fillId="0" borderId="0" xfId="49" applyFont="1" applyAlignment="1" applyProtection="1">
      <alignment horizontal="right" vertical="center"/>
      <protection hidden="1"/>
    </xf>
    <xf numFmtId="0" fontId="34" fillId="0" borderId="66" xfId="49" applyFont="1" applyBorder="1" applyAlignment="1" applyProtection="1">
      <alignment horizontal="right" vertical="center"/>
      <protection hidden="1"/>
    </xf>
    <xf numFmtId="0" fontId="34" fillId="0" borderId="66" xfId="0" applyFont="1" applyBorder="1" applyAlignment="1">
      <alignment horizontal="right" vertical="center"/>
    </xf>
    <xf numFmtId="0" fontId="116" fillId="30" borderId="59" xfId="0" applyFont="1" applyFill="1" applyBorder="1" applyAlignment="1" applyProtection="1">
      <alignment horizontal="left" vertical="center"/>
      <protection hidden="1"/>
    </xf>
    <xf numFmtId="0" fontId="65" fillId="30" borderId="60" xfId="0" applyFont="1" applyFill="1" applyBorder="1" applyAlignment="1" applyProtection="1">
      <alignment horizontal="left" vertical="center"/>
      <protection hidden="1"/>
    </xf>
    <xf numFmtId="0" fontId="65" fillId="30" borderId="61" xfId="0" applyFont="1" applyFill="1" applyBorder="1" applyAlignment="1" applyProtection="1">
      <alignment horizontal="left" vertical="center"/>
      <protection hidden="1"/>
    </xf>
    <xf numFmtId="0" fontId="34" fillId="0" borderId="0" xfId="49" applyFont="1" applyFill="1" applyAlignment="1" applyProtection="1">
      <protection hidden="1"/>
    </xf>
    <xf numFmtId="0" fontId="147" fillId="64" borderId="244" xfId="49" applyFont="1" applyFill="1" applyBorder="1" applyAlignment="1" applyProtection="1">
      <alignment horizontal="center" vertical="center"/>
      <protection locked="0" hidden="1"/>
    </xf>
    <xf numFmtId="177" fontId="34" fillId="0" borderId="10" xfId="49" applyNumberFormat="1" applyFont="1" applyFill="1" applyBorder="1" applyAlignment="1" applyProtection="1">
      <alignment vertical="center"/>
      <protection hidden="1"/>
    </xf>
    <xf numFmtId="0" fontId="116" fillId="30" borderId="68" xfId="0" applyFont="1" applyFill="1" applyBorder="1" applyAlignment="1" applyProtection="1">
      <alignment horizontal="left" vertical="center"/>
      <protection hidden="1"/>
    </xf>
    <xf numFmtId="0" fontId="65" fillId="30" borderId="60" xfId="0" applyFont="1" applyFill="1" applyBorder="1" applyAlignment="1" applyProtection="1">
      <alignment vertical="center"/>
      <protection hidden="1"/>
    </xf>
    <xf numFmtId="0" fontId="84" fillId="30" borderId="71" xfId="0" applyFont="1" applyFill="1" applyBorder="1" applyAlignment="1" applyProtection="1">
      <alignment horizontal="right" vertical="center"/>
      <protection hidden="1"/>
    </xf>
    <xf numFmtId="0" fontId="199" fillId="35" borderId="59" xfId="0" applyFont="1" applyFill="1" applyBorder="1" applyAlignment="1" applyProtection="1">
      <alignment horizontal="centerContinuous" vertical="center"/>
      <protection hidden="1"/>
    </xf>
    <xf numFmtId="0" fontId="65" fillId="35" borderId="60" xfId="0" applyFont="1" applyFill="1" applyBorder="1" applyAlignment="1" applyProtection="1">
      <alignment horizontal="centerContinuous" vertical="center"/>
      <protection hidden="1"/>
    </xf>
    <xf numFmtId="0" fontId="81" fillId="35" borderId="60" xfId="0" applyFont="1" applyFill="1" applyBorder="1" applyAlignment="1" applyProtection="1">
      <alignment horizontal="centerContinuous" vertical="center"/>
      <protection hidden="1"/>
    </xf>
    <xf numFmtId="0" fontId="82" fillId="35" borderId="60" xfId="0" applyFont="1" applyFill="1" applyBorder="1" applyAlignment="1" applyProtection="1">
      <alignment horizontal="centerContinuous" vertical="center"/>
      <protection hidden="1"/>
    </xf>
    <xf numFmtId="0" fontId="82" fillId="35" borderId="245" xfId="0" applyFont="1" applyFill="1" applyBorder="1" applyAlignment="1" applyProtection="1">
      <alignment horizontal="centerContinuous" vertical="center"/>
      <protection hidden="1"/>
    </xf>
    <xf numFmtId="0" fontId="199" fillId="35" borderId="246" xfId="0" applyFont="1" applyFill="1" applyBorder="1" applyAlignment="1" applyProtection="1">
      <alignment horizontal="centerContinuous" vertical="center"/>
      <protection hidden="1"/>
    </xf>
    <xf numFmtId="0" fontId="64" fillId="35" borderId="60" xfId="0" applyFont="1" applyFill="1" applyBorder="1" applyAlignment="1" applyProtection="1">
      <alignment horizontal="centerContinuous" vertical="center"/>
      <protection hidden="1"/>
    </xf>
    <xf numFmtId="0" fontId="199" fillId="35" borderId="245" xfId="0" applyFont="1" applyFill="1" applyBorder="1" applyAlignment="1" applyProtection="1">
      <alignment horizontal="centerContinuous" vertical="center"/>
      <protection hidden="1"/>
    </xf>
    <xf numFmtId="177" fontId="34" fillId="0" borderId="10" xfId="0" applyNumberFormat="1" applyFont="1" applyFill="1" applyBorder="1" applyAlignment="1" applyProtection="1">
      <alignment vertical="center"/>
      <protection hidden="1"/>
    </xf>
    <xf numFmtId="177" fontId="34" fillId="0" borderId="0" xfId="0" applyNumberFormat="1" applyFont="1" applyFill="1" applyAlignment="1" applyProtection="1">
      <alignment vertical="center"/>
      <protection hidden="1"/>
    </xf>
    <xf numFmtId="0" fontId="34" fillId="0" borderId="10" xfId="49" applyFont="1" applyFill="1" applyBorder="1" applyAlignment="1" applyProtection="1">
      <alignment vertical="center" wrapText="1"/>
      <protection hidden="1"/>
    </xf>
    <xf numFmtId="0" fontId="0" fillId="0" borderId="247" xfId="0" applyBorder="1" applyAlignment="1" applyProtection="1">
      <alignment horizontal="distributed" vertical="center"/>
      <protection hidden="1"/>
    </xf>
    <xf numFmtId="177" fontId="34" fillId="0" borderId="76" xfId="49" applyNumberFormat="1" applyFill="1" applyBorder="1" applyAlignment="1" applyProtection="1">
      <alignment horizontal="left" vertical="center"/>
      <protection hidden="1"/>
    </xf>
    <xf numFmtId="177" fontId="34" fillId="0" borderId="0" xfId="49" applyNumberFormat="1" applyFill="1" applyBorder="1" applyAlignment="1" applyProtection="1">
      <alignment horizontal="left" vertical="center"/>
      <protection hidden="1"/>
    </xf>
    <xf numFmtId="0" fontId="0" fillId="0" borderId="63" xfId="0" applyFill="1" applyBorder="1" applyAlignment="1" applyProtection="1">
      <alignment vertical="center"/>
      <protection hidden="1"/>
    </xf>
    <xf numFmtId="177" fontId="149" fillId="0" borderId="0" xfId="49" applyNumberFormat="1" applyFont="1" applyFill="1" applyBorder="1" applyAlignment="1" applyProtection="1">
      <alignment horizontal="distributed"/>
      <protection hidden="1"/>
    </xf>
    <xf numFmtId="0" fontId="7" fillId="0" borderId="63" xfId="0" applyFont="1" applyFill="1" applyBorder="1" applyAlignment="1" applyProtection="1">
      <protection hidden="1"/>
    </xf>
    <xf numFmtId="0" fontId="0" fillId="0" borderId="249" xfId="0" applyBorder="1" applyAlignment="1" applyProtection="1">
      <alignment horizontal="distributed" vertical="center"/>
      <protection hidden="1"/>
    </xf>
    <xf numFmtId="177" fontId="34" fillId="0" borderId="235" xfId="49" applyNumberFormat="1" applyFill="1" applyBorder="1" applyAlignment="1" applyProtection="1">
      <alignment horizontal="left" vertical="center"/>
      <protection hidden="1"/>
    </xf>
    <xf numFmtId="177" fontId="34" fillId="0" borderId="53" xfId="49" applyNumberFormat="1" applyFill="1" applyBorder="1" applyAlignment="1" applyProtection="1">
      <alignment horizontal="left" vertical="center"/>
      <protection hidden="1"/>
    </xf>
    <xf numFmtId="0" fontId="0" fillId="0" borderId="53" xfId="0" applyBorder="1" applyProtection="1">
      <alignment vertical="center"/>
      <protection hidden="1"/>
    </xf>
    <xf numFmtId="0" fontId="0" fillId="0" borderId="90" xfId="0" applyFill="1" applyBorder="1" applyAlignment="1" applyProtection="1">
      <alignment vertical="center"/>
      <protection hidden="1"/>
    </xf>
    <xf numFmtId="0" fontId="0" fillId="0" borderId="248" xfId="0" applyBorder="1" applyAlignment="1" applyProtection="1">
      <alignment horizontal="distributed" vertical="center"/>
      <protection hidden="1"/>
    </xf>
    <xf numFmtId="177" fontId="34" fillId="0" borderId="78" xfId="49" applyNumberFormat="1" applyFill="1" applyBorder="1" applyAlignment="1" applyProtection="1">
      <alignment horizontal="left" vertical="center"/>
      <protection hidden="1"/>
    </xf>
    <xf numFmtId="177" fontId="34" fillId="0" borderId="57" xfId="49" applyNumberFormat="1" applyFill="1" applyBorder="1" applyAlignment="1" applyProtection="1">
      <alignment horizontal="left" vertical="center"/>
      <protection hidden="1"/>
    </xf>
    <xf numFmtId="177" fontId="149" fillId="0" borderId="57" xfId="49" applyNumberFormat="1" applyFont="1" applyFill="1" applyBorder="1" applyAlignment="1" applyProtection="1">
      <alignment horizontal="distributed"/>
      <protection hidden="1"/>
    </xf>
    <xf numFmtId="0" fontId="0" fillId="0" borderId="57" xfId="0" applyBorder="1" applyProtection="1">
      <alignment vertical="center"/>
      <protection hidden="1"/>
    </xf>
    <xf numFmtId="0" fontId="7" fillId="0" borderId="79" xfId="0" applyFont="1" applyFill="1" applyBorder="1" applyAlignment="1" applyProtection="1">
      <protection hidden="1"/>
    </xf>
    <xf numFmtId="0" fontId="147" fillId="0" borderId="247" xfId="49" applyFont="1" applyFill="1" applyBorder="1" applyAlignment="1" applyProtection="1">
      <alignment horizontal="distributed" vertical="center" wrapText="1"/>
      <protection hidden="1"/>
    </xf>
    <xf numFmtId="0" fontId="34" fillId="0" borderId="10" xfId="0" applyFont="1" applyFill="1" applyBorder="1" applyAlignment="1" applyProtection="1">
      <alignment vertical="center" wrapText="1"/>
      <protection hidden="1"/>
    </xf>
    <xf numFmtId="177" fontId="34" fillId="26" borderId="10" xfId="0" applyNumberFormat="1" applyFont="1" applyFill="1" applyBorder="1" applyAlignment="1" applyProtection="1">
      <alignment vertical="center"/>
      <protection hidden="1"/>
    </xf>
    <xf numFmtId="0" fontId="7" fillId="0" borderId="251" xfId="49" applyFont="1" applyFill="1" applyBorder="1" applyAlignment="1" applyProtection="1">
      <alignment horizontal="distributed" vertical="center"/>
      <protection hidden="1"/>
    </xf>
    <xf numFmtId="0" fontId="0" fillId="0" borderId="252" xfId="0" applyBorder="1" applyAlignment="1" applyProtection="1">
      <alignment horizontal="distributed" vertical="center"/>
      <protection hidden="1"/>
    </xf>
    <xf numFmtId="0" fontId="0" fillId="0" borderId="253" xfId="0" applyBorder="1" applyAlignment="1" applyProtection="1">
      <alignment horizontal="distributed" vertical="center"/>
      <protection hidden="1"/>
    </xf>
    <xf numFmtId="0" fontId="0" fillId="0" borderId="253" xfId="0" applyBorder="1" applyProtection="1">
      <alignment vertical="center"/>
      <protection hidden="1"/>
    </xf>
    <xf numFmtId="0" fontId="0" fillId="0" borderId="252" xfId="0" applyBorder="1" applyProtection="1">
      <alignment vertical="center"/>
      <protection hidden="1"/>
    </xf>
    <xf numFmtId="0" fontId="24" fillId="0" borderId="252" xfId="49" applyFont="1" applyFill="1" applyBorder="1" applyAlignment="1" applyProtection="1">
      <alignment horizontal="left" vertical="top"/>
      <protection hidden="1"/>
    </xf>
    <xf numFmtId="0" fontId="0" fillId="0" borderId="255" xfId="0" applyFill="1" applyBorder="1" applyAlignment="1" applyProtection="1">
      <alignment horizontal="left" vertical="top"/>
      <protection hidden="1"/>
    </xf>
    <xf numFmtId="0" fontId="7" fillId="0" borderId="62" xfId="49" applyFont="1" applyFill="1" applyBorder="1" applyAlignment="1" applyProtection="1">
      <alignment horizontal="distributed" vertical="center"/>
      <protection hidden="1"/>
    </xf>
    <xf numFmtId="0" fontId="0" fillId="0" borderId="0" xfId="0" applyBorder="1" applyAlignment="1" applyProtection="1">
      <alignment horizontal="distributed" vertical="center"/>
      <protection hidden="1"/>
    </xf>
    <xf numFmtId="0" fontId="0" fillId="0" borderId="247" xfId="0" applyBorder="1" applyProtection="1">
      <alignment vertical="center"/>
      <protection hidden="1"/>
    </xf>
    <xf numFmtId="0" fontId="24" fillId="0" borderId="0" xfId="0" applyFont="1" applyFill="1" applyBorder="1" applyAlignment="1" applyProtection="1">
      <alignment horizontal="center" vertical="top"/>
      <protection hidden="1"/>
    </xf>
    <xf numFmtId="0" fontId="0" fillId="0" borderId="63" xfId="0" applyFill="1" applyBorder="1" applyAlignment="1" applyProtection="1">
      <alignment horizontal="left" vertical="top"/>
      <protection hidden="1"/>
    </xf>
    <xf numFmtId="0" fontId="7" fillId="0" borderId="65" xfId="0" applyFont="1" applyBorder="1" applyAlignment="1" applyProtection="1">
      <alignment horizontal="distributed" vertical="center"/>
      <protection hidden="1"/>
    </xf>
    <xf numFmtId="0" fontId="0" fillId="0" borderId="66" xfId="0" applyBorder="1" applyAlignment="1" applyProtection="1">
      <alignment horizontal="distributed" vertical="center"/>
      <protection hidden="1"/>
    </xf>
    <xf numFmtId="0" fontId="0" fillId="0" borderId="256" xfId="0" applyBorder="1" applyAlignment="1" applyProtection="1">
      <alignment horizontal="distributed" vertical="center"/>
      <protection hidden="1"/>
    </xf>
    <xf numFmtId="0" fontId="0" fillId="0" borderId="256" xfId="0" applyBorder="1" applyProtection="1">
      <alignment vertical="center"/>
      <protection hidden="1"/>
    </xf>
    <xf numFmtId="0" fontId="0" fillId="0" borderId="66" xfId="0" applyBorder="1" applyProtection="1">
      <alignment vertical="center"/>
      <protection hidden="1"/>
    </xf>
    <xf numFmtId="0" fontId="24" fillId="0" borderId="256" xfId="0" applyFont="1" applyFill="1" applyBorder="1" applyAlignment="1" applyProtection="1">
      <alignment horizontal="center" vertical="top"/>
      <protection hidden="1"/>
    </xf>
    <xf numFmtId="0" fontId="24" fillId="0" borderId="66" xfId="0" applyFont="1" applyFill="1" applyBorder="1" applyAlignment="1" applyProtection="1">
      <alignment horizontal="center" vertical="top"/>
      <protection hidden="1"/>
    </xf>
    <xf numFmtId="0" fontId="0" fillId="0" borderId="67" xfId="0" applyFill="1" applyBorder="1" applyAlignment="1" applyProtection="1">
      <alignment horizontal="left" vertical="top"/>
      <protection hidden="1"/>
    </xf>
    <xf numFmtId="0" fontId="65" fillId="30" borderId="69" xfId="0" applyFont="1" applyFill="1" applyBorder="1" applyAlignment="1" applyProtection="1">
      <alignment vertical="center"/>
      <protection hidden="1"/>
    </xf>
    <xf numFmtId="0" fontId="102" fillId="30" borderId="69" xfId="0" applyFont="1" applyFill="1" applyBorder="1" applyAlignment="1" applyProtection="1">
      <alignment horizontal="right" vertical="top"/>
      <protection hidden="1"/>
    </xf>
    <xf numFmtId="0" fontId="87" fillId="30" borderId="71" xfId="0" applyFont="1" applyFill="1" applyBorder="1" applyAlignment="1" applyProtection="1">
      <alignment vertical="center"/>
      <protection hidden="1"/>
    </xf>
    <xf numFmtId="0" fontId="199" fillId="35" borderId="59" xfId="0" applyFont="1" applyFill="1" applyBorder="1" applyAlignment="1" applyProtection="1">
      <alignment horizontal="left" vertical="center"/>
      <protection hidden="1"/>
    </xf>
    <xf numFmtId="0" fontId="64" fillId="35" borderId="60" xfId="49" applyFont="1" applyFill="1" applyBorder="1" applyAlignment="1" applyProtection="1">
      <alignment vertical="center"/>
      <protection hidden="1"/>
    </xf>
    <xf numFmtId="0" fontId="64" fillId="35" borderId="60" xfId="0" applyFont="1" applyFill="1" applyBorder="1" applyAlignment="1" applyProtection="1">
      <alignment horizontal="right" vertical="center"/>
      <protection hidden="1"/>
    </xf>
    <xf numFmtId="0" fontId="64" fillId="35" borderId="60" xfId="0" applyFont="1" applyFill="1" applyBorder="1" applyAlignment="1" applyProtection="1">
      <alignment vertical="center"/>
      <protection hidden="1"/>
    </xf>
    <xf numFmtId="0" fontId="64" fillId="35" borderId="60" xfId="0" applyFont="1" applyFill="1" applyBorder="1" applyAlignment="1" applyProtection="1">
      <alignment horizontal="left" vertical="center"/>
      <protection hidden="1"/>
    </xf>
    <xf numFmtId="0" fontId="64" fillId="35" borderId="61" xfId="0" applyFont="1" applyFill="1" applyBorder="1" applyAlignment="1" applyProtection="1">
      <alignment horizontal="left" vertical="center"/>
      <protection hidden="1"/>
    </xf>
    <xf numFmtId="0" fontId="203" fillId="0" borderId="62" xfId="49" applyFont="1" applyBorder="1" applyProtection="1">
      <alignment vertical="center"/>
      <protection hidden="1"/>
    </xf>
    <xf numFmtId="0" fontId="34" fillId="0" borderId="0" xfId="49" applyBorder="1" applyProtection="1">
      <alignment vertical="center"/>
      <protection hidden="1"/>
    </xf>
    <xf numFmtId="0" fontId="203" fillId="0" borderId="0" xfId="49" applyFont="1" applyBorder="1" applyAlignment="1" applyProtection="1">
      <alignment horizontal="left" vertical="center"/>
      <protection hidden="1"/>
    </xf>
    <xf numFmtId="0" fontId="149" fillId="0" borderId="0" xfId="49" applyFont="1" applyBorder="1" applyAlignment="1" applyProtection="1">
      <alignment horizontal="left" vertical="center" indent="1"/>
      <protection hidden="1"/>
    </xf>
    <xf numFmtId="0" fontId="46" fillId="0" borderId="0" xfId="49" applyFont="1" applyBorder="1" applyProtection="1">
      <alignment vertical="center"/>
      <protection hidden="1"/>
    </xf>
    <xf numFmtId="0" fontId="34" fillId="0" borderId="0" xfId="49" applyBorder="1" applyAlignment="1" applyProtection="1">
      <alignment vertical="center"/>
      <protection hidden="1"/>
    </xf>
    <xf numFmtId="0" fontId="203" fillId="0" borderId="63" xfId="49" applyFont="1" applyBorder="1" applyAlignment="1" applyProtection="1">
      <alignment horizontal="right" vertical="center"/>
      <protection hidden="1"/>
    </xf>
    <xf numFmtId="0" fontId="34" fillId="0" borderId="62" xfId="49" applyBorder="1" applyProtection="1">
      <alignment vertical="center"/>
      <protection hidden="1"/>
    </xf>
    <xf numFmtId="0" fontId="34" fillId="0" borderId="0" xfId="49" applyFont="1" applyBorder="1" applyProtection="1">
      <alignment vertical="center"/>
      <protection hidden="1"/>
    </xf>
    <xf numFmtId="0" fontId="34" fillId="0" borderId="63" xfId="49" applyBorder="1" applyAlignment="1" applyProtection="1">
      <alignment horizontal="center" vertical="center"/>
      <protection hidden="1"/>
    </xf>
    <xf numFmtId="0" fontId="0" fillId="0" borderId="62" xfId="0" applyBorder="1" applyProtection="1">
      <alignment vertical="center"/>
      <protection hidden="1"/>
    </xf>
    <xf numFmtId="0" fontId="0" fillId="0" borderId="65" xfId="0" applyBorder="1" applyProtection="1">
      <alignment vertical="center"/>
      <protection hidden="1"/>
    </xf>
    <xf numFmtId="0" fontId="0" fillId="0" borderId="67" xfId="0" applyBorder="1" applyProtection="1">
      <alignment vertical="center"/>
      <protection hidden="1"/>
    </xf>
    <xf numFmtId="0" fontId="204" fillId="35" borderId="59" xfId="0" applyFont="1" applyFill="1" applyBorder="1" applyAlignment="1" applyProtection="1">
      <alignment horizontal="left" vertical="center"/>
      <protection hidden="1"/>
    </xf>
    <xf numFmtId="0" fontId="64" fillId="35" borderId="245" xfId="0" applyFont="1" applyFill="1" applyBorder="1" applyAlignment="1" applyProtection="1">
      <alignment horizontal="left" vertical="center"/>
      <protection hidden="1"/>
    </xf>
    <xf numFmtId="0" fontId="204" fillId="35" borderId="60" xfId="0" applyFont="1" applyFill="1" applyBorder="1" applyAlignment="1" applyProtection="1">
      <alignment horizontal="left" vertical="center"/>
      <protection hidden="1"/>
    </xf>
    <xf numFmtId="0" fontId="151" fillId="35" borderId="60" xfId="0" applyFont="1" applyFill="1" applyBorder="1" applyAlignment="1" applyProtection="1">
      <alignment horizontal="left" vertical="center"/>
      <protection hidden="1"/>
    </xf>
    <xf numFmtId="0" fontId="7" fillId="0" borderId="0" xfId="0" applyFont="1" applyBorder="1" applyProtection="1">
      <alignment vertical="center"/>
      <protection hidden="1"/>
    </xf>
    <xf numFmtId="0" fontId="29" fillId="0" borderId="0" xfId="0" applyFont="1" applyBorder="1" applyProtection="1">
      <alignment vertical="center"/>
      <protection hidden="1"/>
    </xf>
    <xf numFmtId="0" fontId="29" fillId="0" borderId="63" xfId="0" applyFont="1" applyBorder="1">
      <alignment vertical="center"/>
    </xf>
    <xf numFmtId="0" fontId="7" fillId="0" borderId="0" xfId="0" applyFont="1" applyBorder="1" applyAlignment="1" applyProtection="1">
      <alignment horizontal="left" vertical="center" indent="1"/>
      <protection hidden="1"/>
    </xf>
    <xf numFmtId="0" fontId="7" fillId="0" borderId="0" xfId="0" applyFont="1" applyBorder="1" applyAlignment="1" applyProtection="1">
      <alignment horizontal="right" vertical="center"/>
      <protection hidden="1"/>
    </xf>
    <xf numFmtId="177" fontId="24" fillId="0" borderId="258" xfId="0" applyNumberFormat="1" applyFont="1" applyFill="1" applyBorder="1" applyAlignment="1" applyProtection="1">
      <alignment horizontal="center" vertical="center"/>
      <protection hidden="1"/>
    </xf>
    <xf numFmtId="0" fontId="34" fillId="0" borderId="10" xfId="0" quotePrefix="1" applyFont="1" applyFill="1" applyBorder="1" applyAlignment="1" applyProtection="1">
      <alignment vertical="center"/>
      <protection hidden="1"/>
    </xf>
    <xf numFmtId="0" fontId="34" fillId="0" borderId="0" xfId="0" applyFont="1" applyFill="1" applyAlignment="1" applyProtection="1">
      <alignment horizontal="right" vertical="center"/>
      <protection hidden="1"/>
    </xf>
    <xf numFmtId="177" fontId="24" fillId="0" borderId="259" xfId="0" applyNumberFormat="1" applyFont="1" applyFill="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29" fillId="0" borderId="63" xfId="0" applyFont="1" applyBorder="1" applyAlignment="1">
      <alignment vertical="center"/>
    </xf>
    <xf numFmtId="0" fontId="205" fillId="35" borderId="89" xfId="0" applyFont="1" applyFill="1" applyBorder="1" applyAlignment="1" applyProtection="1">
      <alignment horizontal="left" vertical="center"/>
      <protection hidden="1"/>
    </xf>
    <xf numFmtId="0" fontId="64" fillId="35" borderId="53" xfId="49" applyFont="1" applyFill="1" applyBorder="1" applyAlignment="1" applyProtection="1">
      <alignment vertical="center"/>
      <protection hidden="1"/>
    </xf>
    <xf numFmtId="0" fontId="64" fillId="35" borderId="53" xfId="0" applyFont="1" applyFill="1" applyBorder="1" applyAlignment="1" applyProtection="1">
      <alignment horizontal="right" vertical="center"/>
      <protection hidden="1"/>
    </xf>
    <xf numFmtId="0" fontId="64" fillId="35" borderId="53" xfId="0" applyFont="1" applyFill="1" applyBorder="1" applyAlignment="1" applyProtection="1">
      <alignment vertical="center"/>
      <protection hidden="1"/>
    </xf>
    <xf numFmtId="0" fontId="64" fillId="35" borderId="53" xfId="0" applyFont="1" applyFill="1" applyBorder="1" applyAlignment="1" applyProtection="1">
      <alignment horizontal="left" vertical="center"/>
      <protection hidden="1"/>
    </xf>
    <xf numFmtId="0" fontId="64" fillId="35" borderId="249" xfId="0" applyFont="1" applyFill="1" applyBorder="1" applyAlignment="1" applyProtection="1">
      <alignment horizontal="left" vertical="center"/>
      <protection hidden="1"/>
    </xf>
    <xf numFmtId="0" fontId="205" fillId="35" borderId="53" xfId="0" applyFont="1" applyFill="1" applyBorder="1" applyAlignment="1" applyProtection="1">
      <alignment horizontal="left" vertical="center"/>
      <protection hidden="1"/>
    </xf>
    <xf numFmtId="0" fontId="151" fillId="35" borderId="53" xfId="0" applyFont="1" applyFill="1" applyBorder="1" applyAlignment="1" applyProtection="1">
      <alignment horizontal="left" vertical="center"/>
      <protection hidden="1"/>
    </xf>
    <xf numFmtId="0" fontId="64" fillId="35" borderId="90" xfId="0" applyFont="1" applyFill="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177" fontId="34" fillId="26" borderId="51" xfId="0" applyNumberFormat="1" applyFont="1" applyFill="1" applyBorder="1" applyAlignment="1" applyProtection="1">
      <alignment vertical="center"/>
      <protection hidden="1"/>
    </xf>
    <xf numFmtId="0" fontId="24" fillId="0" borderId="259" xfId="0" applyFont="1" applyFill="1" applyBorder="1" applyAlignment="1" applyProtection="1">
      <alignment horizontal="center" vertical="center"/>
      <protection hidden="1"/>
    </xf>
    <xf numFmtId="0" fontId="34" fillId="0" borderId="26" xfId="0" applyFont="1" applyFill="1" applyBorder="1" applyAlignment="1" applyProtection="1">
      <alignment vertical="center"/>
      <protection hidden="1"/>
    </xf>
    <xf numFmtId="0" fontId="34" fillId="26" borderId="10" xfId="0" applyFont="1" applyFill="1" applyBorder="1" applyAlignment="1" applyProtection="1">
      <alignment vertical="center"/>
      <protection hidden="1"/>
    </xf>
    <xf numFmtId="0" fontId="34" fillId="0" borderId="27" xfId="0" applyFont="1" applyFill="1" applyBorder="1" applyAlignment="1" applyProtection="1">
      <alignment vertical="center"/>
      <protection hidden="1"/>
    </xf>
    <xf numFmtId="0" fontId="34" fillId="0" borderId="0" xfId="0" applyFont="1" applyFill="1" applyAlignment="1" applyProtection="1">
      <alignment horizontal="left" vertical="center" indent="1"/>
      <protection hidden="1"/>
    </xf>
    <xf numFmtId="0" fontId="29" fillId="0" borderId="57" xfId="0" applyFont="1" applyBorder="1" applyAlignment="1" applyProtection="1">
      <alignment vertical="center"/>
      <protection hidden="1"/>
    </xf>
    <xf numFmtId="0" fontId="29" fillId="0" borderId="79" xfId="0" applyFont="1" applyBorder="1" applyAlignment="1">
      <alignment vertical="center"/>
    </xf>
    <xf numFmtId="0" fontId="206" fillId="35" borderId="62" xfId="0" applyFont="1" applyFill="1" applyBorder="1" applyAlignment="1" applyProtection="1">
      <alignment horizontal="left" vertical="center"/>
      <protection hidden="1"/>
    </xf>
    <xf numFmtId="0" fontId="64" fillId="35" borderId="0" xfId="49" applyFont="1" applyFill="1" applyBorder="1" applyAlignment="1" applyProtection="1">
      <alignment vertical="center"/>
      <protection hidden="1"/>
    </xf>
    <xf numFmtId="0" fontId="64" fillId="35" borderId="0" xfId="0" applyFont="1" applyFill="1" applyBorder="1" applyAlignment="1" applyProtection="1">
      <alignment horizontal="right" vertical="center"/>
      <protection hidden="1"/>
    </xf>
    <xf numFmtId="0" fontId="64" fillId="35" borderId="0" xfId="0" applyFont="1" applyFill="1" applyBorder="1" applyAlignment="1" applyProtection="1">
      <alignment vertical="center"/>
      <protection hidden="1"/>
    </xf>
    <xf numFmtId="0" fontId="64" fillId="35" borderId="0" xfId="0" applyFont="1" applyFill="1" applyBorder="1" applyAlignment="1" applyProtection="1">
      <alignment horizontal="left" vertical="center"/>
      <protection hidden="1"/>
    </xf>
    <xf numFmtId="0" fontId="64" fillId="35" borderId="247" xfId="0" applyFont="1" applyFill="1" applyBorder="1" applyAlignment="1" applyProtection="1">
      <alignment horizontal="left" vertical="center"/>
      <protection hidden="1"/>
    </xf>
    <xf numFmtId="0" fontId="206" fillId="35" borderId="0" xfId="0" applyFont="1" applyFill="1" applyBorder="1" applyAlignment="1" applyProtection="1">
      <alignment horizontal="left" vertical="center"/>
      <protection hidden="1"/>
    </xf>
    <xf numFmtId="0" fontId="151" fillId="35" borderId="0" xfId="0" applyFont="1" applyFill="1" applyBorder="1" applyAlignment="1" applyProtection="1">
      <alignment horizontal="left" vertical="center"/>
      <protection hidden="1"/>
    </xf>
    <xf numFmtId="0" fontId="64" fillId="35" borderId="63" xfId="0" applyFont="1" applyFill="1" applyBorder="1" applyAlignment="1" applyProtection="1">
      <alignment horizontal="left" vertical="center"/>
      <protection hidden="1"/>
    </xf>
    <xf numFmtId="0" fontId="7" fillId="0" borderId="0" xfId="0" applyFont="1" applyAlignment="1" applyProtection="1">
      <alignment horizontal="right" vertical="center"/>
      <protection hidden="1"/>
    </xf>
    <xf numFmtId="0" fontId="29" fillId="0" borderId="66" xfId="0" applyFont="1" applyBorder="1" applyAlignment="1" applyProtection="1">
      <alignment vertical="center"/>
      <protection hidden="1"/>
    </xf>
    <xf numFmtId="0" fontId="29" fillId="0" borderId="67" xfId="0" applyFont="1" applyBorder="1" applyAlignment="1">
      <alignment vertical="center"/>
    </xf>
    <xf numFmtId="0" fontId="0" fillId="31" borderId="10" xfId="0" applyFill="1" applyBorder="1">
      <alignment vertical="center"/>
    </xf>
    <xf numFmtId="211" fontId="0" fillId="0" borderId="10" xfId="0" applyNumberFormat="1" applyFill="1" applyBorder="1">
      <alignmen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0" fontId="199" fillId="35" borderId="246" xfId="0" applyFont="1" applyFill="1" applyBorder="1" applyAlignment="1" applyProtection="1">
      <alignment horizontal="center" vertical="center"/>
      <protection hidden="1"/>
    </xf>
    <xf numFmtId="0" fontId="199" fillId="35" borderId="60" xfId="0" applyFont="1" applyFill="1" applyBorder="1" applyAlignment="1" applyProtection="1">
      <alignment horizontal="center" vertical="center"/>
      <protection hidden="1"/>
    </xf>
    <xf numFmtId="0" fontId="199" fillId="35" borderId="61" xfId="0" applyFont="1" applyFill="1" applyBorder="1" applyAlignment="1" applyProtection="1">
      <alignment horizontal="center" vertical="center"/>
      <protection hidden="1"/>
    </xf>
    <xf numFmtId="0" fontId="28" fillId="29" borderId="66" xfId="0" applyFont="1" applyFill="1" applyBorder="1" applyAlignment="1" applyProtection="1">
      <alignment horizontal="left" vertical="center" shrinkToFit="1"/>
      <protection hidden="1"/>
    </xf>
    <xf numFmtId="0" fontId="0" fillId="0" borderId="66" xfId="0" applyBorder="1" applyAlignment="1">
      <alignment horizontal="left" vertical="center"/>
    </xf>
    <xf numFmtId="0" fontId="150" fillId="0" borderId="68" xfId="49" applyFont="1" applyBorder="1" applyAlignment="1" applyProtection="1">
      <alignment horizontal="center" vertical="center"/>
      <protection hidden="1"/>
    </xf>
    <xf numFmtId="0" fontId="150" fillId="0" borderId="69" xfId="49" applyFont="1" applyBorder="1" applyAlignment="1" applyProtection="1">
      <alignment horizontal="center" vertical="center"/>
      <protection hidden="1"/>
    </xf>
    <xf numFmtId="0" fontId="150" fillId="0" borderId="69" xfId="49" applyFont="1" applyFill="1" applyBorder="1" applyAlignment="1" applyProtection="1">
      <alignment horizontal="left" vertical="center" shrinkToFit="1"/>
      <protection locked="0" hidden="1"/>
    </xf>
    <xf numFmtId="0" fontId="150" fillId="0" borderId="69" xfId="0" applyFont="1" applyFill="1" applyBorder="1" applyAlignment="1" applyProtection="1">
      <alignment vertical="center"/>
      <protection locked="0"/>
    </xf>
    <xf numFmtId="0" fontId="150" fillId="0" borderId="237" xfId="49" applyFont="1" applyBorder="1" applyAlignment="1" applyProtection="1">
      <alignment horizontal="center" vertical="center" wrapText="1"/>
      <protection hidden="1"/>
    </xf>
    <xf numFmtId="0" fontId="150" fillId="0" borderId="243" xfId="49" applyFont="1" applyBorder="1" applyAlignment="1" applyProtection="1">
      <alignment horizontal="center" vertical="center" wrapText="1"/>
      <protection hidden="1"/>
    </xf>
    <xf numFmtId="0" fontId="198" fillId="0" borderId="69" xfId="0" applyFont="1" applyBorder="1" applyAlignment="1" applyProtection="1">
      <alignment horizontal="center" vertical="center"/>
      <protection hidden="1"/>
    </xf>
    <xf numFmtId="0" fontId="198" fillId="0" borderId="71" xfId="0" applyFont="1" applyBorder="1" applyAlignment="1" applyProtection="1">
      <alignment horizontal="center" vertical="center"/>
      <protection hidden="1"/>
    </xf>
    <xf numFmtId="177" fontId="147" fillId="0" borderId="0" xfId="49" applyNumberFormat="1"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02" fillId="0" borderId="254" xfId="49" applyFont="1" applyFill="1" applyBorder="1" applyAlignment="1" applyProtection="1">
      <alignment vertical="center" wrapText="1"/>
      <protection hidden="1"/>
    </xf>
    <xf numFmtId="0" fontId="202" fillId="0" borderId="252" xfId="49" applyFont="1" applyFill="1" applyBorder="1" applyAlignment="1" applyProtection="1">
      <alignment vertical="center" wrapText="1"/>
      <protection hidden="1"/>
    </xf>
    <xf numFmtId="0" fontId="202" fillId="0" borderId="76" xfId="49" applyFont="1" applyFill="1" applyBorder="1" applyAlignment="1" applyProtection="1">
      <alignment vertical="center" wrapText="1"/>
      <protection hidden="1"/>
    </xf>
    <xf numFmtId="0" fontId="202" fillId="0" borderId="0" xfId="49" applyFont="1" applyFill="1" applyBorder="1" applyAlignment="1" applyProtection="1">
      <alignment vertical="center" wrapText="1"/>
      <protection hidden="1"/>
    </xf>
    <xf numFmtId="0" fontId="202" fillId="0" borderId="257" xfId="49" applyFont="1" applyFill="1" applyBorder="1" applyAlignment="1" applyProtection="1">
      <alignment vertical="center" wrapText="1"/>
      <protection hidden="1"/>
    </xf>
    <xf numFmtId="0" fontId="202" fillId="0" borderId="66" xfId="49" applyFont="1" applyFill="1" applyBorder="1" applyAlignment="1" applyProtection="1">
      <alignment vertical="center" wrapText="1"/>
      <protection hidden="1"/>
    </xf>
    <xf numFmtId="0" fontId="202" fillId="0" borderId="254" xfId="49" applyFont="1" applyFill="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66" xfId="0" applyBorder="1" applyAlignment="1" applyProtection="1">
      <alignment horizontal="left" vertical="center" wrapText="1"/>
      <protection hidden="1"/>
    </xf>
    <xf numFmtId="0" fontId="147" fillId="0" borderId="62" xfId="49" applyFont="1" applyFill="1" applyBorder="1" applyAlignment="1" applyProtection="1">
      <alignment horizontal="center" vertical="center" wrapText="1"/>
      <protection hidden="1"/>
    </xf>
    <xf numFmtId="0" fontId="0" fillId="0" borderId="62" xfId="0" applyBorder="1" applyAlignment="1" applyProtection="1">
      <alignment horizontal="center" vertical="center"/>
      <protection hidden="1"/>
    </xf>
    <xf numFmtId="0" fontId="200" fillId="0" borderId="0" xfId="49" applyFont="1" applyFill="1" applyBorder="1" applyAlignment="1" applyProtection="1">
      <alignment horizontal="distributed" vertical="center" wrapText="1"/>
      <protection hidden="1"/>
    </xf>
    <xf numFmtId="0" fontId="201" fillId="0" borderId="0" xfId="0" applyFont="1" applyBorder="1" applyAlignment="1" applyProtection="1">
      <alignment horizontal="distributed" vertical="center"/>
      <protection hidden="1"/>
    </xf>
    <xf numFmtId="177" fontId="147" fillId="0" borderId="0" xfId="49" applyNumberFormat="1" applyFont="1" applyFill="1" applyBorder="1" applyAlignment="1" applyProtection="1">
      <alignment horizontal="right" vertical="center"/>
      <protection hidden="1"/>
    </xf>
    <xf numFmtId="0" fontId="0" fillId="0" borderId="0" xfId="0" applyFill="1" applyBorder="1" applyAlignment="1" applyProtection="1">
      <alignment horizontal="right" vertical="center"/>
      <protection hidden="1"/>
    </xf>
    <xf numFmtId="177" fontId="149" fillId="0" borderId="248" xfId="49" applyNumberFormat="1" applyFont="1" applyFill="1" applyBorder="1" applyAlignment="1" applyProtection="1">
      <alignment horizontal="left" vertical="center"/>
      <protection hidden="1"/>
    </xf>
    <xf numFmtId="0" fontId="149" fillId="0" borderId="249" xfId="0" applyFont="1" applyFill="1" applyBorder="1" applyAlignment="1" applyProtection="1">
      <alignment horizontal="left" vertical="center"/>
      <protection hidden="1"/>
    </xf>
    <xf numFmtId="0" fontId="147" fillId="0" borderId="89" xfId="49" applyFont="1" applyFill="1" applyBorder="1" applyAlignment="1" applyProtection="1">
      <alignment horizontal="center" vertical="center" wrapText="1"/>
      <protection hidden="1"/>
    </xf>
    <xf numFmtId="0" fontId="0" fillId="0" borderId="77" xfId="0" applyBorder="1" applyAlignment="1" applyProtection="1">
      <alignment horizontal="center" vertical="center"/>
      <protection hidden="1"/>
    </xf>
    <xf numFmtId="0" fontId="200" fillId="0" borderId="53" xfId="49" applyFont="1" applyFill="1" applyBorder="1" applyAlignment="1" applyProtection="1">
      <alignment horizontal="distributed" vertical="center" wrapText="1"/>
      <protection hidden="1"/>
    </xf>
    <xf numFmtId="0" fontId="201" fillId="0" borderId="53" xfId="0" applyFont="1" applyBorder="1" applyAlignment="1" applyProtection="1">
      <alignment horizontal="distributed" vertical="center"/>
      <protection hidden="1"/>
    </xf>
    <xf numFmtId="0" fontId="201" fillId="0" borderId="57" xfId="0" applyFont="1" applyBorder="1" applyAlignment="1" applyProtection="1">
      <alignment horizontal="distributed" vertical="center"/>
      <protection hidden="1"/>
    </xf>
    <xf numFmtId="177" fontId="147" fillId="0" borderId="53" xfId="49" applyNumberFormat="1" applyFont="1" applyFill="1" applyBorder="1" applyAlignment="1" applyProtection="1">
      <alignment horizontal="right" vertical="center"/>
      <protection hidden="1"/>
    </xf>
    <xf numFmtId="0" fontId="0" fillId="0" borderId="57" xfId="0" applyFill="1" applyBorder="1" applyAlignment="1" applyProtection="1">
      <alignment horizontal="right" vertical="center"/>
      <protection hidden="1"/>
    </xf>
    <xf numFmtId="177" fontId="149" fillId="0" borderId="250" xfId="49" applyNumberFormat="1" applyFont="1" applyFill="1" applyBorder="1" applyAlignment="1" applyProtection="1">
      <alignment horizontal="left" vertical="center"/>
      <protection hidden="1"/>
    </xf>
    <xf numFmtId="0" fontId="149" fillId="0" borderId="250" xfId="0" applyFont="1" applyFill="1" applyBorder="1" applyAlignment="1" applyProtection="1">
      <alignment horizontal="left" vertical="center"/>
      <protection hidden="1"/>
    </xf>
    <xf numFmtId="177" fontId="147" fillId="0" borderId="53" xfId="49" applyNumberFormat="1" applyFont="1"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7" fillId="0" borderId="62" xfId="0" applyFont="1" applyBorder="1" applyAlignment="1" applyProtection="1">
      <alignment horizontal="left" vertical="top" wrapText="1"/>
      <protection hidden="1"/>
    </xf>
    <xf numFmtId="0" fontId="7" fillId="0" borderId="0" xfId="0" applyFont="1" applyBorder="1" applyAlignment="1" applyProtection="1">
      <alignment horizontal="left" vertical="top" wrapText="1"/>
      <protection hidden="1"/>
    </xf>
    <xf numFmtId="0" fontId="7" fillId="0" borderId="247" xfId="0" applyFont="1" applyBorder="1" applyAlignment="1" applyProtection="1">
      <alignment horizontal="left" vertical="top" wrapText="1"/>
      <protection hidden="1"/>
    </xf>
    <xf numFmtId="0" fontId="7" fillId="0" borderId="65" xfId="0" applyFont="1" applyBorder="1" applyAlignment="1" applyProtection="1">
      <alignment horizontal="left" vertical="top" wrapText="1"/>
      <protection hidden="1"/>
    </xf>
    <xf numFmtId="0" fontId="7" fillId="0" borderId="66" xfId="0" applyFont="1" applyBorder="1" applyAlignment="1" applyProtection="1">
      <alignment horizontal="left" vertical="top" wrapText="1"/>
      <protection hidden="1"/>
    </xf>
    <xf numFmtId="0" fontId="7" fillId="0" borderId="256" xfId="0" applyFont="1" applyBorder="1" applyAlignment="1" applyProtection="1">
      <alignment horizontal="left" vertical="top" wrapText="1"/>
      <protection hidden="1"/>
    </xf>
    <xf numFmtId="0" fontId="0" fillId="0" borderId="62" xfId="0" applyFont="1" applyBorder="1" applyAlignment="1" applyProtection="1">
      <alignment horizontal="left" vertical="top" wrapText="1"/>
      <protection hidden="1"/>
    </xf>
    <xf numFmtId="0" fontId="7" fillId="0" borderId="77" xfId="0" applyFont="1" applyBorder="1" applyAlignment="1" applyProtection="1">
      <alignment horizontal="left" vertical="top" wrapText="1"/>
      <protection hidden="1"/>
    </xf>
    <xf numFmtId="0" fontId="7" fillId="0" borderId="57" xfId="0" applyFont="1" applyBorder="1" applyAlignment="1" applyProtection="1">
      <alignment horizontal="left" vertical="top" wrapText="1"/>
      <protection hidden="1"/>
    </xf>
    <xf numFmtId="0" fontId="7" fillId="0" borderId="248" xfId="0" applyFont="1" applyBorder="1" applyAlignment="1" applyProtection="1">
      <alignment horizontal="left" vertical="top" wrapText="1"/>
      <protection hidden="1"/>
    </xf>
    <xf numFmtId="0" fontId="207" fillId="0" borderId="62" xfId="0" applyFont="1" applyFill="1" applyBorder="1" applyAlignment="1" applyProtection="1">
      <alignment horizontal="left" vertical="top" wrapText="1"/>
      <protection hidden="1"/>
    </xf>
    <xf numFmtId="0" fontId="207" fillId="0" borderId="0" xfId="0" applyFont="1" applyBorder="1" applyAlignment="1" applyProtection="1">
      <alignment horizontal="left" vertical="top" wrapText="1"/>
      <protection hidden="1"/>
    </xf>
    <xf numFmtId="0" fontId="207" fillId="0" borderId="247" xfId="0" applyFont="1" applyBorder="1" applyAlignment="1" applyProtection="1">
      <alignment horizontal="left" vertical="top" wrapText="1"/>
      <protection hidden="1"/>
    </xf>
    <xf numFmtId="0" fontId="207" fillId="0" borderId="62" xfId="0" applyFont="1" applyBorder="1" applyAlignment="1" applyProtection="1">
      <alignment horizontal="left" vertical="top" wrapText="1"/>
      <protection hidden="1"/>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34" fillId="41" borderId="65" xfId="0" applyFont="1" applyFill="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34" fillId="41" borderId="77" xfId="0" applyFont="1" applyFill="1" applyBorder="1" applyAlignment="1" applyProtection="1">
      <alignment horizontal="left" vertical="top" wrapText="1"/>
      <protection locked="0"/>
    </xf>
    <xf numFmtId="0" fontId="0" fillId="0" borderId="57" xfId="0" applyBorder="1" applyAlignment="1" applyProtection="1">
      <alignment vertical="center"/>
      <protection locked="0"/>
    </xf>
    <xf numFmtId="0" fontId="0" fillId="0" borderId="79" xfId="0" applyBorder="1" applyAlignment="1" applyProtection="1">
      <alignment vertical="center"/>
      <protection locked="0"/>
    </xf>
    <xf numFmtId="0" fontId="34" fillId="41" borderId="62" xfId="0" applyFont="1" applyFill="1" applyBorder="1" applyAlignment="1" applyProtection="1">
      <alignment horizontal="left" vertical="top" wrapText="1"/>
      <protection locked="0"/>
    </xf>
    <xf numFmtId="0" fontId="0" fillId="0" borderId="0" xfId="0" applyBorder="1" applyAlignment="1" applyProtection="1">
      <alignment vertical="center"/>
      <protection locked="0"/>
    </xf>
    <xf numFmtId="0" fontId="0" fillId="0" borderId="63" xfId="0" applyBorder="1" applyAlignment="1" applyProtection="1">
      <alignment vertical="center"/>
      <protection locked="0"/>
    </xf>
    <xf numFmtId="0" fontId="0" fillId="0" borderId="0"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29" fillId="27" borderId="80" xfId="0" applyFont="1" applyFill="1" applyBorder="1" applyAlignment="1" applyProtection="1">
      <alignment horizontal="left" vertical="center" wrapText="1"/>
      <protection hidden="1"/>
    </xf>
    <xf numFmtId="0" fontId="150" fillId="53" borderId="68" xfId="0" applyFont="1" applyFill="1" applyBorder="1" applyAlignment="1" applyProtection="1">
      <alignment horizontal="center" vertical="center"/>
      <protection locked="0" hidden="1"/>
    </xf>
    <xf numFmtId="0" fontId="150" fillId="53" borderId="71" xfId="0" applyFont="1" applyFill="1" applyBorder="1" applyAlignment="1" applyProtection="1">
      <alignment horizontal="center" vertical="center"/>
      <protection locked="0" hidden="1"/>
    </xf>
    <xf numFmtId="0" fontId="150" fillId="53" borderId="72" xfId="0" applyFont="1" applyFill="1" applyBorder="1" applyAlignment="1" applyProtection="1">
      <alignment horizontal="center" vertical="center"/>
      <protection locked="0" hidden="1"/>
    </xf>
    <xf numFmtId="0" fontId="150" fillId="53" borderId="75" xfId="0" applyFont="1" applyFill="1" applyBorder="1" applyAlignment="1" applyProtection="1">
      <alignment horizontal="center" vertical="center"/>
      <protection locked="0" hidden="1"/>
    </xf>
    <xf numFmtId="0" fontId="150" fillId="53" borderId="80" xfId="0" applyFont="1" applyFill="1" applyBorder="1" applyAlignment="1" applyProtection="1">
      <alignment horizontal="center" vertical="center"/>
      <protection locked="0" hidden="1"/>
    </xf>
    <xf numFmtId="0" fontId="150" fillId="53" borderId="82" xfId="0" applyFont="1" applyFill="1" applyBorder="1" applyAlignment="1" applyProtection="1">
      <alignment horizontal="center" vertical="center"/>
      <protection locked="0" hidden="1"/>
    </xf>
    <xf numFmtId="0" fontId="150" fillId="53" borderId="242" xfId="0" applyFont="1" applyFill="1" applyBorder="1" applyAlignment="1" applyProtection="1">
      <alignment horizontal="center" vertical="center"/>
      <protection locked="0" hidden="1"/>
    </xf>
    <xf numFmtId="0" fontId="150" fillId="53" borderId="127"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Book1" xfId="49"/>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99FF"/>
      <color rgb="FFCCFFFF"/>
      <color rgb="FFCCCC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charts/_rels/chart2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charts/_rels/chart2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charts/_rels/chart2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charts/_rels/chart2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charts/_rels/chart3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charts/_rels/chart3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charts/_rels/chart3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charts/_rels/chart3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9686-44FC-B5F3-06D2A6A05E7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9686-44FC-B5F3-06D2A6A05E7D}"/>
            </c:ext>
          </c:extLst>
        </c:ser>
        <c:dLbls>
          <c:showLegendKey val="0"/>
          <c:showVal val="0"/>
          <c:showCatName val="0"/>
          <c:showSerName val="0"/>
          <c:showPercent val="0"/>
          <c:showBubbleSize val="0"/>
        </c:dLbls>
        <c:gapWidth val="50"/>
        <c:overlap val="100"/>
        <c:axId val="123928512"/>
        <c:axId val="123925768"/>
      </c:barChart>
      <c:catAx>
        <c:axId val="123928512"/>
        <c:scaling>
          <c:orientation val="minMax"/>
        </c:scaling>
        <c:delete val="1"/>
        <c:axPos val="l"/>
        <c:numFmt formatCode="General" sourceLinked="1"/>
        <c:majorTickMark val="out"/>
        <c:minorTickMark val="none"/>
        <c:tickLblPos val="nextTo"/>
        <c:crossAx val="123925768"/>
        <c:crosses val="autoZero"/>
        <c:auto val="1"/>
        <c:lblAlgn val="ctr"/>
        <c:lblOffset val="100"/>
        <c:noMultiLvlLbl val="0"/>
      </c:catAx>
      <c:valAx>
        <c:axId val="123925768"/>
        <c:scaling>
          <c:orientation val="minMax"/>
        </c:scaling>
        <c:delete val="1"/>
        <c:axPos val="b"/>
        <c:numFmt formatCode="0%" sourceLinked="1"/>
        <c:majorTickMark val="out"/>
        <c:minorTickMark val="none"/>
        <c:tickLblPos val="nextTo"/>
        <c:crossAx val="1239285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C11-4116-9165-2598789E340F}"/>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C11-4116-9165-2598789E340F}"/>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C11-4116-9165-2598789E340F}"/>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C11-4116-9165-2598789E340F}"/>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C11-4116-9165-2598789E340F}"/>
            </c:ext>
          </c:extLst>
        </c:ser>
        <c:dLbls>
          <c:showLegendKey val="0"/>
          <c:showVal val="0"/>
          <c:showCatName val="0"/>
          <c:showSerName val="0"/>
          <c:showPercent val="0"/>
          <c:showBubbleSize val="0"/>
        </c:dLbls>
        <c:axId val="123927336"/>
        <c:axId val="1941774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C11-4116-9165-2598789E340F}"/>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11-4116-9165-2598789E340F}"/>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49.58</c:v>
                </c:pt>
                <c:pt idx="3" formatCode="#,##0_);[Red]\(#,##0\)">
                  <c:v>49.58</c:v>
                </c:pt>
              </c:numCache>
            </c:numRef>
          </c:yVal>
          <c:smooth val="0"/>
          <c:extLst>
            <c:ext xmlns:c16="http://schemas.microsoft.com/office/drawing/2014/chart" uri="{C3380CC4-5D6E-409C-BE32-E72D297353CC}">
              <c16:uniqueId val="{00000009-DC11-4116-9165-2598789E340F}"/>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C11-4116-9165-2598789E340F}"/>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C11-4116-9165-2598789E340F}"/>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49.58</c:v>
                </c:pt>
                <c:pt idx="3" formatCode="#,##0_);[Red]\(#,##0\)">
                  <c:v>49.58</c:v>
                </c:pt>
              </c:numCache>
            </c:numRef>
          </c:yVal>
          <c:smooth val="0"/>
          <c:extLst>
            <c:ext xmlns:c16="http://schemas.microsoft.com/office/drawing/2014/chart" uri="{C3380CC4-5D6E-409C-BE32-E72D297353CC}">
              <c16:uniqueId val="{0000000C-DC11-4116-9165-2598789E340F}"/>
            </c:ext>
          </c:extLst>
        </c:ser>
        <c:ser>
          <c:idx val="5"/>
          <c:order val="2"/>
          <c:tx>
            <c:strRef>
              <c:f>結果_IS!$S$12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C11-4116-9165-2598789E340F}"/>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C11-4116-9165-2598789E340F}"/>
              </c:ext>
            </c:extLst>
          </c:dPt>
          <c:dPt>
            <c:idx val="2"/>
            <c:bubble3D val="0"/>
            <c:spPr>
              <a:ln w="38100">
                <a:solidFill>
                  <a:srgbClr val="008000"/>
                </a:solidFill>
                <a:prstDash val="solid"/>
              </a:ln>
            </c:spPr>
            <c:extLst>
              <c:ext xmlns:c16="http://schemas.microsoft.com/office/drawing/2014/chart" uri="{C3380CC4-5D6E-409C-BE32-E72D297353CC}">
                <c16:uniqueId val="{00000011-DC11-4116-9165-2598789E340F}"/>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49.58</c:v>
                </c:pt>
                <c:pt idx="2" formatCode="General">
                  <c:v>0</c:v>
                </c:pt>
              </c:numCache>
            </c:numRef>
          </c:yVal>
          <c:smooth val="0"/>
          <c:extLst>
            <c:ext xmlns:c16="http://schemas.microsoft.com/office/drawing/2014/chart" uri="{C3380CC4-5D6E-409C-BE32-E72D297353CC}">
              <c16:uniqueId val="{00000012-DC11-4116-9165-2598789E340F}"/>
            </c:ext>
          </c:extLst>
        </c:ser>
        <c:dLbls>
          <c:showLegendKey val="0"/>
          <c:showVal val="0"/>
          <c:showCatName val="0"/>
          <c:showSerName val="0"/>
          <c:showPercent val="0"/>
          <c:showBubbleSize val="0"/>
        </c:dLbls>
        <c:axId val="194171584"/>
        <c:axId val="194175896"/>
      </c:scatterChart>
      <c:catAx>
        <c:axId val="123927336"/>
        <c:scaling>
          <c:orientation val="minMax"/>
        </c:scaling>
        <c:delete val="0"/>
        <c:axPos val="b"/>
        <c:numFmt formatCode="#,##0_);[Red]\(#,##0\)" sourceLinked="1"/>
        <c:majorTickMark val="none"/>
        <c:minorTickMark val="none"/>
        <c:tickLblPos val="none"/>
        <c:spPr>
          <a:ln w="3175">
            <a:solidFill>
              <a:srgbClr val="000000"/>
            </a:solidFill>
            <a:prstDash val="solid"/>
          </a:ln>
        </c:spPr>
        <c:crossAx val="194177464"/>
        <c:crosses val="autoZero"/>
        <c:auto val="0"/>
        <c:lblAlgn val="ctr"/>
        <c:lblOffset val="100"/>
        <c:tickLblSkip val="50"/>
        <c:tickMarkSkip val="50"/>
        <c:noMultiLvlLbl val="0"/>
      </c:catAx>
      <c:valAx>
        <c:axId val="1941774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27336"/>
        <c:crosses val="autoZero"/>
        <c:crossBetween val="midCat"/>
        <c:majorUnit val="50"/>
      </c:valAx>
      <c:valAx>
        <c:axId val="1941715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75896"/>
        <c:crosses val="max"/>
        <c:crossBetween val="midCat"/>
        <c:majorUnit val="50"/>
      </c:valAx>
      <c:valAx>
        <c:axId val="19417589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1715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D8FC-4097-BB04-2EA6E049E303}"/>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D8FC-4097-BB04-2EA6E049E303}"/>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D8FC-4097-BB04-2EA6E049E303}"/>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2.9</c:v>
                </c:pt>
                <c:pt idx="1">
                  <c:v>3</c:v>
                </c:pt>
                <c:pt idx="2">
                  <c:v>0</c:v>
                </c:pt>
                <c:pt idx="3">
                  <c:v>3</c:v>
                </c:pt>
                <c:pt idx="4">
                  <c:v>3</c:v>
                </c:pt>
                <c:pt idx="5">
                  <c:v>2.9</c:v>
                </c:pt>
              </c:numCache>
            </c:numRef>
          </c:val>
          <c:extLst>
            <c:ext xmlns:c16="http://schemas.microsoft.com/office/drawing/2014/chart" uri="{C3380CC4-5D6E-409C-BE32-E72D297353CC}">
              <c16:uniqueId val="{00000003-D8FC-4097-BB04-2EA6E049E303}"/>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D8FC-4097-BB04-2EA6E049E303}"/>
            </c:ext>
          </c:extLst>
        </c:ser>
        <c:dLbls>
          <c:showLegendKey val="0"/>
          <c:showVal val="0"/>
          <c:showCatName val="0"/>
          <c:showSerName val="0"/>
          <c:showPercent val="0"/>
          <c:showBubbleSize val="0"/>
        </c:dLbls>
        <c:axId val="194170408"/>
        <c:axId val="194175112"/>
      </c:radarChart>
      <c:catAx>
        <c:axId val="1941704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4175112"/>
        <c:crosses val="autoZero"/>
        <c:auto val="0"/>
        <c:lblAlgn val="ctr"/>
        <c:lblOffset val="100"/>
        <c:noMultiLvlLbl val="0"/>
      </c:catAx>
      <c:valAx>
        <c:axId val="19417511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41704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AD-4C08-BF4F-49BAA852759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AD-4C08-BF4F-49BAA852759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AD-4C08-BF4F-49BAA852759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FAD-4C08-BF4F-49BAA852759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2.9</c:v>
                </c:pt>
                <c:pt idx="1">
                  <c:v>3</c:v>
                </c:pt>
                <c:pt idx="2">
                  <c:v>3</c:v>
                </c:pt>
                <c:pt idx="3">
                  <c:v>3</c:v>
                </c:pt>
              </c:numCache>
            </c:numRef>
          </c:val>
          <c:extLst>
            <c:ext xmlns:c16="http://schemas.microsoft.com/office/drawing/2014/chart" uri="{C3380CC4-5D6E-409C-BE32-E72D297353CC}">
              <c16:uniqueId val="{00000004-8FAD-4C08-BF4F-49BAA8527593}"/>
            </c:ext>
          </c:extLst>
        </c:ser>
        <c:dLbls>
          <c:showLegendKey val="0"/>
          <c:showVal val="1"/>
          <c:showCatName val="0"/>
          <c:showSerName val="0"/>
          <c:showPercent val="0"/>
          <c:showBubbleSize val="0"/>
        </c:dLbls>
        <c:gapWidth val="40"/>
        <c:axId val="194173544"/>
        <c:axId val="194175504"/>
      </c:barChart>
      <c:catAx>
        <c:axId val="194173544"/>
        <c:scaling>
          <c:orientation val="minMax"/>
        </c:scaling>
        <c:delete val="0"/>
        <c:axPos val="b"/>
        <c:numFmt formatCode="General" sourceLinked="1"/>
        <c:majorTickMark val="none"/>
        <c:minorTickMark val="none"/>
        <c:tickLblPos val="none"/>
        <c:spPr>
          <a:ln w="3175">
            <a:solidFill>
              <a:srgbClr val="000000"/>
            </a:solidFill>
            <a:prstDash val="solid"/>
          </a:ln>
        </c:spPr>
        <c:crossAx val="194175504"/>
        <c:crossesAt val="0"/>
        <c:auto val="1"/>
        <c:lblAlgn val="ctr"/>
        <c:lblOffset val="100"/>
        <c:tickMarkSkip val="1"/>
        <c:noMultiLvlLbl val="0"/>
      </c:catAx>
      <c:valAx>
        <c:axId val="1941755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35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CB6-41AA-8798-76869296837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CB6-41AA-8798-76869296837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CB6-41AA-8798-76869296837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2.9</c:v>
                </c:pt>
                <c:pt idx="1">
                  <c:v>3</c:v>
                </c:pt>
                <c:pt idx="2">
                  <c:v>3</c:v>
                </c:pt>
              </c:numCache>
            </c:numRef>
          </c:val>
          <c:extLst>
            <c:ext xmlns:c16="http://schemas.microsoft.com/office/drawing/2014/chart" uri="{C3380CC4-5D6E-409C-BE32-E72D297353CC}">
              <c16:uniqueId val="{00000003-ACB6-41AA-8798-768692968373}"/>
            </c:ext>
          </c:extLst>
        </c:ser>
        <c:dLbls>
          <c:showLegendKey val="0"/>
          <c:showVal val="1"/>
          <c:showCatName val="0"/>
          <c:showSerName val="0"/>
          <c:showPercent val="0"/>
          <c:showBubbleSize val="0"/>
        </c:dLbls>
        <c:gapWidth val="70"/>
        <c:axId val="194172368"/>
        <c:axId val="194176680"/>
      </c:barChart>
      <c:catAx>
        <c:axId val="194172368"/>
        <c:scaling>
          <c:orientation val="minMax"/>
        </c:scaling>
        <c:delete val="0"/>
        <c:axPos val="b"/>
        <c:numFmt formatCode="General" sourceLinked="1"/>
        <c:majorTickMark val="none"/>
        <c:minorTickMark val="none"/>
        <c:tickLblPos val="none"/>
        <c:spPr>
          <a:ln w="3175">
            <a:solidFill>
              <a:srgbClr val="000000"/>
            </a:solidFill>
            <a:prstDash val="solid"/>
          </a:ln>
        </c:spPr>
        <c:crossAx val="194176680"/>
        <c:crossesAt val="0"/>
        <c:auto val="1"/>
        <c:lblAlgn val="ctr"/>
        <c:lblOffset val="100"/>
        <c:tickMarkSkip val="1"/>
        <c:noMultiLvlLbl val="0"/>
      </c:catAx>
      <c:valAx>
        <c:axId val="1941766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2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885-4F54-AB31-ECB3ADE1ADA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194-4238-95BB-E8A1B023A489}"/>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194-4238-95BB-E8A1B023A489}"/>
                      </c:ext>
                    </c:extLst>
                  </c15:dLbl>
                </c15:categoryFilterException>
              </c15:categoryFilterExceptions>
            </c:ext>
            <c:ext xmlns:c16="http://schemas.microsoft.com/office/drawing/2014/chart" uri="{C3380CC4-5D6E-409C-BE32-E72D297353CC}">
              <c16:uniqueId val="{00000001-7885-4F54-AB31-ECB3ADE1ADAC}"/>
            </c:ext>
          </c:extLst>
        </c:ser>
        <c:dLbls>
          <c:showLegendKey val="0"/>
          <c:showVal val="1"/>
          <c:showCatName val="0"/>
          <c:showSerName val="0"/>
          <c:showPercent val="0"/>
          <c:showBubbleSize val="0"/>
        </c:dLbls>
        <c:gapWidth val="70"/>
        <c:axId val="194174328"/>
        <c:axId val="194177072"/>
      </c:barChart>
      <c:catAx>
        <c:axId val="194174328"/>
        <c:scaling>
          <c:orientation val="minMax"/>
        </c:scaling>
        <c:delete val="0"/>
        <c:axPos val="b"/>
        <c:numFmt formatCode="General" sourceLinked="1"/>
        <c:majorTickMark val="none"/>
        <c:minorTickMark val="none"/>
        <c:tickLblPos val="none"/>
        <c:spPr>
          <a:ln w="3175">
            <a:solidFill>
              <a:srgbClr val="000000"/>
            </a:solidFill>
            <a:prstDash val="solid"/>
          </a:ln>
        </c:spPr>
        <c:crossAx val="194177072"/>
        <c:crossesAt val="0"/>
        <c:auto val="1"/>
        <c:lblAlgn val="ctr"/>
        <c:lblOffset val="100"/>
        <c:tickMarkSkip val="1"/>
        <c:noMultiLvlLbl val="0"/>
      </c:catAx>
      <c:valAx>
        <c:axId val="1941770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43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4D-4954-AC9A-FACAAAC7397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4D-4954-AC9A-FACAAAC7397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44D-4954-AC9A-FACAAAC7397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44D-4954-AC9A-FACAAAC739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644D-4954-AC9A-FACAAAC73972}"/>
            </c:ext>
          </c:extLst>
        </c:ser>
        <c:dLbls>
          <c:showLegendKey val="0"/>
          <c:showVal val="1"/>
          <c:showCatName val="0"/>
          <c:showSerName val="0"/>
          <c:showPercent val="0"/>
          <c:showBubbleSize val="0"/>
        </c:dLbls>
        <c:gapWidth val="40"/>
        <c:axId val="194171192"/>
        <c:axId val="194171976"/>
      </c:barChart>
      <c:catAx>
        <c:axId val="194171192"/>
        <c:scaling>
          <c:orientation val="minMax"/>
        </c:scaling>
        <c:delete val="0"/>
        <c:axPos val="b"/>
        <c:numFmt formatCode="General" sourceLinked="1"/>
        <c:majorTickMark val="none"/>
        <c:minorTickMark val="none"/>
        <c:tickLblPos val="none"/>
        <c:spPr>
          <a:ln w="3175">
            <a:solidFill>
              <a:srgbClr val="000000"/>
            </a:solidFill>
            <a:prstDash val="solid"/>
          </a:ln>
        </c:spPr>
        <c:crossAx val="194171976"/>
        <c:crossesAt val="0"/>
        <c:auto val="1"/>
        <c:lblAlgn val="ctr"/>
        <c:lblOffset val="100"/>
        <c:tickMarkSkip val="1"/>
        <c:noMultiLvlLbl val="0"/>
      </c:catAx>
      <c:valAx>
        <c:axId val="1941719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11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7FC-4283-AB22-2CF99B13DC3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7FC-4283-AB22-2CF99B13DC3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7FC-4283-AB22-2CF99B13DC3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C7FC-4283-AB22-2CF99B13DC32}"/>
            </c:ext>
          </c:extLst>
        </c:ser>
        <c:dLbls>
          <c:showLegendKey val="0"/>
          <c:showVal val="1"/>
          <c:showCatName val="0"/>
          <c:showSerName val="0"/>
          <c:showPercent val="0"/>
          <c:showBubbleSize val="0"/>
        </c:dLbls>
        <c:gapWidth val="70"/>
        <c:axId val="194173152"/>
        <c:axId val="194771992"/>
      </c:barChart>
      <c:catAx>
        <c:axId val="194173152"/>
        <c:scaling>
          <c:orientation val="minMax"/>
        </c:scaling>
        <c:delete val="0"/>
        <c:axPos val="b"/>
        <c:numFmt formatCode="General" sourceLinked="1"/>
        <c:majorTickMark val="none"/>
        <c:minorTickMark val="none"/>
        <c:tickLblPos val="none"/>
        <c:spPr>
          <a:ln w="3175">
            <a:solidFill>
              <a:srgbClr val="000000"/>
            </a:solidFill>
            <a:prstDash val="solid"/>
          </a:ln>
        </c:spPr>
        <c:crossAx val="194771992"/>
        <c:crossesAt val="0"/>
        <c:auto val="1"/>
        <c:lblAlgn val="ctr"/>
        <c:lblOffset val="100"/>
        <c:tickMarkSkip val="1"/>
        <c:noMultiLvlLbl val="0"/>
      </c:catAx>
      <c:valAx>
        <c:axId val="1947719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31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C56-4D4D-A7BB-F44B4DD191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090-42CC-888F-A0993E539C76}"/>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090-42CC-888F-A0993E539C76}"/>
                      </c:ext>
                    </c:extLst>
                  </c15:dLbl>
                </c15:categoryFilterException>
              </c15:categoryFilterExceptions>
            </c:ext>
            <c:ext xmlns:c16="http://schemas.microsoft.com/office/drawing/2014/chart" uri="{C3380CC4-5D6E-409C-BE32-E72D297353CC}">
              <c16:uniqueId val="{00000001-9C56-4D4D-A7BB-F44B4DD191CF}"/>
            </c:ext>
          </c:extLst>
        </c:ser>
        <c:dLbls>
          <c:showLegendKey val="0"/>
          <c:showVal val="1"/>
          <c:showCatName val="0"/>
          <c:showSerName val="0"/>
          <c:showPercent val="0"/>
          <c:showBubbleSize val="0"/>
        </c:dLbls>
        <c:gapWidth val="70"/>
        <c:axId val="194775128"/>
        <c:axId val="194775912"/>
      </c:barChart>
      <c:catAx>
        <c:axId val="194775128"/>
        <c:scaling>
          <c:orientation val="minMax"/>
        </c:scaling>
        <c:delete val="0"/>
        <c:axPos val="b"/>
        <c:numFmt formatCode="General" sourceLinked="1"/>
        <c:majorTickMark val="none"/>
        <c:minorTickMark val="none"/>
        <c:tickLblPos val="none"/>
        <c:spPr>
          <a:ln w="3175">
            <a:solidFill>
              <a:srgbClr val="000000"/>
            </a:solidFill>
            <a:prstDash val="solid"/>
          </a:ln>
        </c:spPr>
        <c:crossAx val="194775912"/>
        <c:crossesAt val="0"/>
        <c:auto val="1"/>
        <c:lblAlgn val="ctr"/>
        <c:lblOffset val="100"/>
        <c:tickMarkSkip val="1"/>
        <c:noMultiLvlLbl val="0"/>
      </c:catAx>
      <c:valAx>
        <c:axId val="1947759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775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extLst>
            <c:ext xmlns:c16="http://schemas.microsoft.com/office/drawing/2014/chart" uri="{C3380CC4-5D6E-409C-BE32-E72D297353CC}">
              <c16:uniqueId val="{00000000-8EF9-4CA9-8537-79A714028E9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extLst>
            <c:ext xmlns:c16="http://schemas.microsoft.com/office/drawing/2014/chart" uri="{C3380CC4-5D6E-409C-BE32-E72D297353CC}">
              <c16:uniqueId val="{00000001-8EF9-4CA9-8537-79A714028E9E}"/>
            </c:ext>
          </c:extLst>
        </c:ser>
        <c:dLbls>
          <c:showLegendKey val="0"/>
          <c:showVal val="0"/>
          <c:showCatName val="0"/>
          <c:showSerName val="0"/>
          <c:showPercent val="0"/>
          <c:showBubbleSize val="0"/>
        </c:dLbls>
        <c:gapWidth val="50"/>
        <c:overlap val="100"/>
        <c:axId val="194770032"/>
        <c:axId val="194769248"/>
      </c:barChart>
      <c:catAx>
        <c:axId val="194770032"/>
        <c:scaling>
          <c:orientation val="minMax"/>
        </c:scaling>
        <c:delete val="1"/>
        <c:axPos val="l"/>
        <c:numFmt formatCode="General" sourceLinked="1"/>
        <c:majorTickMark val="out"/>
        <c:minorTickMark val="none"/>
        <c:tickLblPos val="nextTo"/>
        <c:crossAx val="194769248"/>
        <c:crosses val="autoZero"/>
        <c:auto val="1"/>
        <c:lblAlgn val="ctr"/>
        <c:lblOffset val="100"/>
        <c:noMultiLvlLbl val="0"/>
      </c:catAx>
      <c:valAx>
        <c:axId val="194769248"/>
        <c:scaling>
          <c:orientation val="minMax"/>
        </c:scaling>
        <c:delete val="1"/>
        <c:axPos val="b"/>
        <c:numFmt formatCode="0%" sourceLinked="1"/>
        <c:majorTickMark val="out"/>
        <c:minorTickMark val="none"/>
        <c:tickLblPos val="nextTo"/>
        <c:crossAx val="1947700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AB5-4660-93C7-84F6413AD0CF}"/>
              </c:ext>
            </c:extLst>
          </c:dPt>
          <c:cat>
            <c:strRef>
              <c:f>結果!$R$36</c:f>
              <c:strCache>
                <c:ptCount val="1"/>
                <c:pt idx="0">
                  <c:v>Rank(green star)</c:v>
                </c:pt>
              </c:strCache>
            </c:strRef>
          </c:cat>
          <c:val>
            <c:numRef>
              <c:f>結果!$S$36</c:f>
              <c:numCache>
                <c:formatCode>#,##0.0;[Red]\-#,##0.0</c:formatCode>
                <c:ptCount val="1"/>
                <c:pt idx="0">
                  <c:v>0</c:v>
                </c:pt>
              </c:numCache>
            </c:numRef>
          </c:val>
          <c:extLst>
            <c:ext xmlns:c16="http://schemas.microsoft.com/office/drawing/2014/chart" uri="{C3380CC4-5D6E-409C-BE32-E72D297353CC}">
              <c16:uniqueId val="{00000002-8AB5-4660-93C7-84F6413AD0C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extLst>
            <c:ext xmlns:c16="http://schemas.microsoft.com/office/drawing/2014/chart" uri="{C3380CC4-5D6E-409C-BE32-E72D297353CC}">
              <c16:uniqueId val="{00000003-8AB5-4660-93C7-84F6413AD0CF}"/>
            </c:ext>
          </c:extLst>
        </c:ser>
        <c:dLbls>
          <c:showLegendKey val="0"/>
          <c:showVal val="0"/>
          <c:showCatName val="0"/>
          <c:showSerName val="0"/>
          <c:showPercent val="0"/>
          <c:showBubbleSize val="0"/>
        </c:dLbls>
        <c:gapWidth val="50"/>
        <c:overlap val="100"/>
        <c:axId val="194773168"/>
        <c:axId val="194773560"/>
      </c:barChart>
      <c:catAx>
        <c:axId val="194773168"/>
        <c:scaling>
          <c:orientation val="minMax"/>
        </c:scaling>
        <c:delete val="1"/>
        <c:axPos val="l"/>
        <c:numFmt formatCode="General" sourceLinked="1"/>
        <c:majorTickMark val="out"/>
        <c:minorTickMark val="none"/>
        <c:tickLblPos val="nextTo"/>
        <c:crossAx val="194773560"/>
        <c:crosses val="autoZero"/>
        <c:auto val="1"/>
        <c:lblAlgn val="ctr"/>
        <c:lblOffset val="100"/>
        <c:noMultiLvlLbl val="0"/>
      </c:catAx>
      <c:valAx>
        <c:axId val="194773560"/>
        <c:scaling>
          <c:orientation val="minMax"/>
        </c:scaling>
        <c:delete val="1"/>
        <c:axPos val="b"/>
        <c:numFmt formatCode="0%" sourceLinked="1"/>
        <c:majorTickMark val="out"/>
        <c:minorTickMark val="none"/>
        <c:tickLblPos val="nextTo"/>
        <c:crossAx val="1947731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0825-42C2-81AA-BAB6B8C14CE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0825-42C2-81AA-BAB6B8C14CE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0825-42C2-81AA-BAB6B8C14CE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0825-42C2-81AA-BAB6B8C14CE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0825-42C2-81AA-BAB6B8C14CEB}"/>
            </c:ext>
          </c:extLst>
        </c:ser>
        <c:dLbls>
          <c:showLegendKey val="0"/>
          <c:showVal val="0"/>
          <c:showCatName val="0"/>
          <c:showSerName val="0"/>
          <c:showPercent val="0"/>
          <c:showBubbleSize val="0"/>
        </c:dLbls>
        <c:axId val="194771208"/>
        <c:axId val="19477395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0825-42C2-81AA-BAB6B8C14CE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25-42C2-81AA-BAB6B8C14CE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49.58</c:v>
                </c:pt>
                <c:pt idx="3" formatCode="#,##0_);[Red]\(#,##0\)">
                  <c:v>49.58</c:v>
                </c:pt>
              </c:numCache>
            </c:numRef>
          </c:yVal>
          <c:smooth val="0"/>
          <c:extLst>
            <c:ext xmlns:c16="http://schemas.microsoft.com/office/drawing/2014/chart" uri="{C3380CC4-5D6E-409C-BE32-E72D297353CC}">
              <c16:uniqueId val="{00000009-0825-42C2-81AA-BAB6B8C14CE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0825-42C2-81AA-BAB6B8C14CE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0825-42C2-81AA-BAB6B8C14CEB}"/>
              </c:ext>
            </c:extLst>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49.58</c:v>
                </c:pt>
                <c:pt idx="3" formatCode="#,##0_);[Red]\(#,##0\)">
                  <c:v>49.58</c:v>
                </c:pt>
              </c:numCache>
            </c:numRef>
          </c:yVal>
          <c:smooth val="0"/>
          <c:extLst>
            <c:ext xmlns:c16="http://schemas.microsoft.com/office/drawing/2014/chart" uri="{C3380CC4-5D6E-409C-BE32-E72D297353CC}">
              <c16:uniqueId val="{0000000C-0825-42C2-81AA-BAB6B8C14CEB}"/>
            </c:ext>
          </c:extLst>
        </c:ser>
        <c:ser>
          <c:idx val="5"/>
          <c:order val="2"/>
          <c:tx>
            <c:strRef>
              <c:f>結果!$S$12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0825-42C2-81AA-BAB6B8C14CE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0825-42C2-81AA-BAB6B8C14CEB}"/>
              </c:ext>
            </c:extLst>
          </c:dPt>
          <c:dPt>
            <c:idx val="2"/>
            <c:bubble3D val="0"/>
            <c:spPr>
              <a:ln w="38100">
                <a:solidFill>
                  <a:srgbClr val="008000"/>
                </a:solidFill>
                <a:prstDash val="solid"/>
              </a:ln>
            </c:spPr>
            <c:extLst>
              <c:ext xmlns:c16="http://schemas.microsoft.com/office/drawing/2014/chart" uri="{C3380CC4-5D6E-409C-BE32-E72D297353CC}">
                <c16:uniqueId val="{00000011-0825-42C2-81AA-BAB6B8C14CE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49.58</c:v>
                </c:pt>
                <c:pt idx="2" formatCode="General">
                  <c:v>0</c:v>
                </c:pt>
              </c:numCache>
            </c:numRef>
          </c:yVal>
          <c:smooth val="0"/>
          <c:extLst>
            <c:ext xmlns:c16="http://schemas.microsoft.com/office/drawing/2014/chart" uri="{C3380CC4-5D6E-409C-BE32-E72D297353CC}">
              <c16:uniqueId val="{00000012-0825-42C2-81AA-BAB6B8C14CEB}"/>
            </c:ext>
          </c:extLst>
        </c:ser>
        <c:dLbls>
          <c:showLegendKey val="0"/>
          <c:showVal val="0"/>
          <c:showCatName val="0"/>
          <c:showSerName val="0"/>
          <c:showPercent val="0"/>
          <c:showBubbleSize val="0"/>
        </c:dLbls>
        <c:axId val="194771600"/>
        <c:axId val="194772776"/>
      </c:scatterChart>
      <c:catAx>
        <c:axId val="194771208"/>
        <c:scaling>
          <c:orientation val="minMax"/>
        </c:scaling>
        <c:delete val="0"/>
        <c:axPos val="b"/>
        <c:numFmt formatCode="#,##0_);[Red]\(#,##0\)" sourceLinked="1"/>
        <c:majorTickMark val="none"/>
        <c:minorTickMark val="none"/>
        <c:tickLblPos val="none"/>
        <c:spPr>
          <a:ln w="3175">
            <a:solidFill>
              <a:srgbClr val="000000"/>
            </a:solidFill>
            <a:prstDash val="solid"/>
          </a:ln>
        </c:spPr>
        <c:crossAx val="194773952"/>
        <c:crosses val="autoZero"/>
        <c:auto val="0"/>
        <c:lblAlgn val="ctr"/>
        <c:lblOffset val="100"/>
        <c:tickLblSkip val="50"/>
        <c:tickMarkSkip val="50"/>
        <c:noMultiLvlLbl val="0"/>
      </c:catAx>
      <c:valAx>
        <c:axId val="19477395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1208"/>
        <c:crosses val="autoZero"/>
        <c:crossBetween val="midCat"/>
        <c:majorUnit val="50"/>
      </c:valAx>
      <c:valAx>
        <c:axId val="1947716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2776"/>
        <c:crosses val="max"/>
        <c:crossBetween val="midCat"/>
        <c:majorUnit val="50"/>
      </c:valAx>
      <c:valAx>
        <c:axId val="19477277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7716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911C-4A05-8168-1C348F3FE161}"/>
              </c:ext>
            </c:extLst>
          </c:dPt>
          <c:val>
            <c:numRef>
              <c:f>結果!$S$40:$S$43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911C-4A05-8168-1C348F3FE161}"/>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911C-4A05-8168-1C348F3FE161}"/>
              </c:ext>
            </c:extLst>
          </c:dPt>
          <c:val>
            <c:numRef>
              <c:f>結果!$T$40:$T$43</c:f>
              <c:numCache>
                <c:formatCode>#,##0_);[Red]\(#,##0\)</c:formatCode>
                <c:ptCount val="4"/>
                <c:pt idx="0">
                  <c:v>16.21</c:v>
                </c:pt>
                <c:pt idx="1">
                  <c:v>16.21</c:v>
                </c:pt>
              </c:numCache>
            </c:numRef>
          </c:val>
          <c:extLst>
            <c:ext xmlns:c16="http://schemas.microsoft.com/office/drawing/2014/chart" uri="{C3380CC4-5D6E-409C-BE32-E72D297353CC}">
              <c16:uniqueId val="{00000005-911C-4A05-8168-1C348F3FE161}"/>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911C-4A05-8168-1C348F3FE161}"/>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911C-4A05-8168-1C348F3FE161}"/>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extLst>
            <c:ext xmlns:c16="http://schemas.microsoft.com/office/drawing/2014/chart" uri="{C3380CC4-5D6E-409C-BE32-E72D297353CC}">
              <c16:uniqueId val="{00000009-911C-4A05-8168-1C348F3FE161}"/>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extLst>
            <c:ext xmlns:c16="http://schemas.microsoft.com/office/drawing/2014/chart" uri="{C3380CC4-5D6E-409C-BE32-E72D297353CC}">
              <c16:uniqueId val="{0000000A-911C-4A05-8168-1C348F3FE161}"/>
            </c:ext>
          </c:extLst>
        </c:ser>
        <c:dLbls>
          <c:showLegendKey val="0"/>
          <c:showVal val="0"/>
          <c:showCatName val="0"/>
          <c:showSerName val="0"/>
          <c:showPercent val="0"/>
          <c:showBubbleSize val="0"/>
        </c:dLbls>
        <c:gapWidth val="50"/>
        <c:overlap val="100"/>
        <c:axId val="194774736"/>
        <c:axId val="194775520"/>
      </c:barChart>
      <c:catAx>
        <c:axId val="194774736"/>
        <c:scaling>
          <c:orientation val="maxMin"/>
        </c:scaling>
        <c:delete val="1"/>
        <c:axPos val="l"/>
        <c:majorTickMark val="out"/>
        <c:minorTickMark val="none"/>
        <c:tickLblPos val="nextTo"/>
        <c:crossAx val="194775520"/>
        <c:crosses val="autoZero"/>
        <c:auto val="1"/>
        <c:lblAlgn val="ctr"/>
        <c:lblOffset val="100"/>
        <c:noMultiLvlLbl val="0"/>
      </c:catAx>
      <c:valAx>
        <c:axId val="1947755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473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96D-4582-A595-146BB6DDD0BE}"/>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96D-4582-A595-146BB6DDD0BE}"/>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96D-4582-A595-146BB6DDD0BE}"/>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2.9</c:v>
                </c:pt>
                <c:pt idx="1">
                  <c:v>3</c:v>
                </c:pt>
                <c:pt idx="2">
                  <c:v>0</c:v>
                </c:pt>
                <c:pt idx="3">
                  <c:v>3</c:v>
                </c:pt>
                <c:pt idx="4">
                  <c:v>3</c:v>
                </c:pt>
                <c:pt idx="5">
                  <c:v>2.9</c:v>
                </c:pt>
              </c:numCache>
            </c:numRef>
          </c:val>
          <c:extLst>
            <c:ext xmlns:c16="http://schemas.microsoft.com/office/drawing/2014/chart" uri="{C3380CC4-5D6E-409C-BE32-E72D297353CC}">
              <c16:uniqueId val="{00000003-F96D-4582-A595-146BB6DDD0BE}"/>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96D-4582-A595-146BB6DDD0BE}"/>
            </c:ext>
          </c:extLst>
        </c:ser>
        <c:dLbls>
          <c:showLegendKey val="0"/>
          <c:showVal val="0"/>
          <c:showCatName val="0"/>
          <c:showSerName val="0"/>
          <c:showPercent val="0"/>
          <c:showBubbleSize val="0"/>
        </c:dLbls>
        <c:axId val="196261912"/>
        <c:axId val="196260344"/>
      </c:radarChart>
      <c:catAx>
        <c:axId val="196261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6260344"/>
        <c:crosses val="autoZero"/>
        <c:auto val="0"/>
        <c:lblAlgn val="ctr"/>
        <c:lblOffset val="100"/>
        <c:noMultiLvlLbl val="0"/>
      </c:catAx>
      <c:valAx>
        <c:axId val="196260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62619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904-46F5-9D18-121A312BA98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904-46F5-9D18-121A312BA98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904-46F5-9D18-121A312BA98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904-46F5-9D18-121A312BA98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2.9</c:v>
                </c:pt>
                <c:pt idx="1">
                  <c:v>3</c:v>
                </c:pt>
                <c:pt idx="2">
                  <c:v>3</c:v>
                </c:pt>
                <c:pt idx="3">
                  <c:v>3</c:v>
                </c:pt>
              </c:numCache>
            </c:numRef>
          </c:val>
          <c:extLst>
            <c:ext xmlns:c16="http://schemas.microsoft.com/office/drawing/2014/chart" uri="{C3380CC4-5D6E-409C-BE32-E72D297353CC}">
              <c16:uniqueId val="{00000004-E904-46F5-9D18-121A312BA98B}"/>
            </c:ext>
          </c:extLst>
        </c:ser>
        <c:dLbls>
          <c:showLegendKey val="0"/>
          <c:showVal val="1"/>
          <c:showCatName val="0"/>
          <c:showSerName val="0"/>
          <c:showPercent val="0"/>
          <c:showBubbleSize val="0"/>
        </c:dLbls>
        <c:gapWidth val="40"/>
        <c:axId val="196260736"/>
        <c:axId val="196261520"/>
      </c:barChart>
      <c:catAx>
        <c:axId val="196260736"/>
        <c:scaling>
          <c:orientation val="minMax"/>
        </c:scaling>
        <c:delete val="0"/>
        <c:axPos val="b"/>
        <c:numFmt formatCode="General" sourceLinked="1"/>
        <c:majorTickMark val="none"/>
        <c:minorTickMark val="none"/>
        <c:tickLblPos val="none"/>
        <c:spPr>
          <a:ln w="3175">
            <a:solidFill>
              <a:srgbClr val="000000"/>
            </a:solidFill>
            <a:prstDash val="solid"/>
          </a:ln>
        </c:spPr>
        <c:crossAx val="196261520"/>
        <c:crossesAt val="0"/>
        <c:auto val="1"/>
        <c:lblAlgn val="ctr"/>
        <c:lblOffset val="100"/>
        <c:tickMarkSkip val="1"/>
        <c:noMultiLvlLbl val="0"/>
      </c:catAx>
      <c:valAx>
        <c:axId val="1962615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0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D9E-4863-AEF3-44FF26E0160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D9E-4863-AEF3-44FF26E0160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D9E-4863-AEF3-44FF26E0160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2.9</c:v>
                </c:pt>
                <c:pt idx="1">
                  <c:v>3</c:v>
                </c:pt>
                <c:pt idx="2">
                  <c:v>3</c:v>
                </c:pt>
              </c:numCache>
            </c:numRef>
          </c:val>
          <c:extLst>
            <c:ext xmlns:c16="http://schemas.microsoft.com/office/drawing/2014/chart" uri="{C3380CC4-5D6E-409C-BE32-E72D297353CC}">
              <c16:uniqueId val="{00000003-7D9E-4863-AEF3-44FF26E01606}"/>
            </c:ext>
          </c:extLst>
        </c:ser>
        <c:dLbls>
          <c:showLegendKey val="0"/>
          <c:showVal val="1"/>
          <c:showCatName val="0"/>
          <c:showSerName val="0"/>
          <c:showPercent val="0"/>
          <c:showBubbleSize val="0"/>
        </c:dLbls>
        <c:gapWidth val="70"/>
        <c:axId val="196259952"/>
        <c:axId val="196258776"/>
      </c:barChart>
      <c:catAx>
        <c:axId val="196259952"/>
        <c:scaling>
          <c:orientation val="minMax"/>
        </c:scaling>
        <c:delete val="0"/>
        <c:axPos val="b"/>
        <c:numFmt formatCode="General" sourceLinked="1"/>
        <c:majorTickMark val="none"/>
        <c:minorTickMark val="none"/>
        <c:tickLblPos val="none"/>
        <c:spPr>
          <a:ln w="3175">
            <a:solidFill>
              <a:srgbClr val="000000"/>
            </a:solidFill>
            <a:prstDash val="solid"/>
          </a:ln>
        </c:spPr>
        <c:crossAx val="196258776"/>
        <c:crossesAt val="0"/>
        <c:auto val="1"/>
        <c:lblAlgn val="ctr"/>
        <c:lblOffset val="100"/>
        <c:tickMarkSkip val="1"/>
        <c:noMultiLvlLbl val="0"/>
      </c:catAx>
      <c:valAx>
        <c:axId val="1962587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99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A45-4B08-BB82-965D3DB22F1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A45-4B08-BB82-965D3DB22F1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A45-4B08-BB82-965D3DB22F1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9A45-4B08-BB82-965D3DB22F11}"/>
            </c:ext>
          </c:extLst>
        </c:ser>
        <c:dLbls>
          <c:showLegendKey val="0"/>
          <c:showVal val="1"/>
          <c:showCatName val="0"/>
          <c:showSerName val="0"/>
          <c:showPercent val="0"/>
          <c:showBubbleSize val="0"/>
        </c:dLbls>
        <c:gapWidth val="70"/>
        <c:axId val="196262304"/>
        <c:axId val="196255248"/>
      </c:barChart>
      <c:catAx>
        <c:axId val="196262304"/>
        <c:scaling>
          <c:orientation val="minMax"/>
        </c:scaling>
        <c:delete val="0"/>
        <c:axPos val="b"/>
        <c:numFmt formatCode="General" sourceLinked="1"/>
        <c:majorTickMark val="none"/>
        <c:minorTickMark val="none"/>
        <c:tickLblPos val="none"/>
        <c:spPr>
          <a:ln w="3175">
            <a:solidFill>
              <a:srgbClr val="000000"/>
            </a:solidFill>
            <a:prstDash val="solid"/>
          </a:ln>
        </c:spPr>
        <c:crossAx val="196255248"/>
        <c:crossesAt val="0"/>
        <c:auto val="1"/>
        <c:lblAlgn val="ctr"/>
        <c:lblOffset val="100"/>
        <c:tickMarkSkip val="1"/>
        <c:noMultiLvlLbl val="0"/>
      </c:catAx>
      <c:valAx>
        <c:axId val="196255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2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67-4EFB-A92B-DDE8A92FA52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67-4EFB-A92B-DDE8A92FA52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467-4EFB-A92B-DDE8A92FA52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467-4EFB-A92B-DDE8A92FA52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3</c:v>
                </c:pt>
                <c:pt idx="3">
                  <c:v>3</c:v>
                </c:pt>
              </c:numCache>
            </c:numRef>
          </c:val>
          <c:extLst>
            <c:ext xmlns:c16="http://schemas.microsoft.com/office/drawing/2014/chart" uri="{C3380CC4-5D6E-409C-BE32-E72D297353CC}">
              <c16:uniqueId val="{00000004-6467-4EFB-A92B-DDE8A92FA52D}"/>
            </c:ext>
          </c:extLst>
        </c:ser>
        <c:dLbls>
          <c:showLegendKey val="0"/>
          <c:showVal val="1"/>
          <c:showCatName val="0"/>
          <c:showSerName val="0"/>
          <c:showPercent val="0"/>
          <c:showBubbleSize val="0"/>
        </c:dLbls>
        <c:gapWidth val="40"/>
        <c:axId val="196256032"/>
        <c:axId val="196257208"/>
      </c:barChart>
      <c:catAx>
        <c:axId val="196256032"/>
        <c:scaling>
          <c:orientation val="minMax"/>
        </c:scaling>
        <c:delete val="0"/>
        <c:axPos val="b"/>
        <c:numFmt formatCode="General" sourceLinked="1"/>
        <c:majorTickMark val="none"/>
        <c:minorTickMark val="none"/>
        <c:tickLblPos val="none"/>
        <c:spPr>
          <a:ln w="3175">
            <a:solidFill>
              <a:srgbClr val="000000"/>
            </a:solidFill>
            <a:prstDash val="solid"/>
          </a:ln>
        </c:spPr>
        <c:crossAx val="196257208"/>
        <c:crossesAt val="0"/>
        <c:auto val="1"/>
        <c:lblAlgn val="ctr"/>
        <c:lblOffset val="100"/>
        <c:tickMarkSkip val="1"/>
        <c:noMultiLvlLbl val="0"/>
      </c:catAx>
      <c:valAx>
        <c:axId val="1962572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B5F-4026-8D85-88ADB354049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B5F-4026-8D85-88ADB354049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B5F-4026-8D85-88ADB35404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5B5F-4026-8D85-88ADB354049C}"/>
            </c:ext>
          </c:extLst>
        </c:ser>
        <c:dLbls>
          <c:showLegendKey val="0"/>
          <c:showVal val="1"/>
          <c:showCatName val="0"/>
          <c:showSerName val="0"/>
          <c:showPercent val="0"/>
          <c:showBubbleSize val="0"/>
        </c:dLbls>
        <c:gapWidth val="70"/>
        <c:axId val="196256816"/>
        <c:axId val="196257600"/>
      </c:barChart>
      <c:catAx>
        <c:axId val="196256816"/>
        <c:scaling>
          <c:orientation val="minMax"/>
        </c:scaling>
        <c:delete val="0"/>
        <c:axPos val="b"/>
        <c:numFmt formatCode="General" sourceLinked="1"/>
        <c:majorTickMark val="none"/>
        <c:minorTickMark val="none"/>
        <c:tickLblPos val="none"/>
        <c:spPr>
          <a:ln w="3175">
            <a:solidFill>
              <a:srgbClr val="000000"/>
            </a:solidFill>
            <a:prstDash val="solid"/>
          </a:ln>
        </c:spPr>
        <c:crossAx val="196257600"/>
        <c:crossesAt val="0"/>
        <c:auto val="1"/>
        <c:lblAlgn val="ctr"/>
        <c:lblOffset val="100"/>
        <c:tickMarkSkip val="1"/>
        <c:noMultiLvlLbl val="0"/>
      </c:catAx>
      <c:valAx>
        <c:axId val="196257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8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81C-49D3-A154-3379BD0E0C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81C-49D3-A154-3379BD0E0C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81C-49D3-A154-3379BD0E0C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3</c:v>
                </c:pt>
                <c:pt idx="2">
                  <c:v>3</c:v>
                </c:pt>
              </c:numCache>
            </c:numRef>
          </c:val>
          <c:extLst>
            <c:ext xmlns:c16="http://schemas.microsoft.com/office/drawing/2014/chart" uri="{C3380CC4-5D6E-409C-BE32-E72D297353CC}">
              <c16:uniqueId val="{00000003-281C-49D3-A154-3379BD0E0CC1}"/>
            </c:ext>
          </c:extLst>
        </c:ser>
        <c:dLbls>
          <c:showLegendKey val="0"/>
          <c:showVal val="1"/>
          <c:showCatName val="0"/>
          <c:showSerName val="0"/>
          <c:showPercent val="0"/>
          <c:showBubbleSize val="0"/>
        </c:dLbls>
        <c:gapWidth val="70"/>
        <c:axId val="196258384"/>
        <c:axId val="196447648"/>
      </c:barChart>
      <c:catAx>
        <c:axId val="196258384"/>
        <c:scaling>
          <c:orientation val="minMax"/>
        </c:scaling>
        <c:delete val="0"/>
        <c:axPos val="b"/>
        <c:numFmt formatCode="General" sourceLinked="1"/>
        <c:majorTickMark val="none"/>
        <c:minorTickMark val="none"/>
        <c:tickLblPos val="none"/>
        <c:spPr>
          <a:ln w="3175">
            <a:solidFill>
              <a:srgbClr val="000000"/>
            </a:solidFill>
            <a:prstDash val="solid"/>
          </a:ln>
        </c:spPr>
        <c:crossAx val="196447648"/>
        <c:crossesAt val="0"/>
        <c:auto val="1"/>
        <c:lblAlgn val="ctr"/>
        <c:lblOffset val="100"/>
        <c:tickMarkSkip val="1"/>
        <c:noMultiLvlLbl val="0"/>
      </c:catAx>
      <c:valAx>
        <c:axId val="196447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83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27323169662576E-2"/>
          <c:y val="6.5359894300795932E-2"/>
          <c:w val="0.95909303775976062"/>
          <c:h val="0.86275060477050636"/>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結果②!$V$11</c:f>
              <c:numCache>
                <c:formatCode>General</c:formatCode>
                <c:ptCount val="1"/>
                <c:pt idx="0">
                  <c:v>0</c:v>
                </c:pt>
              </c:numCache>
            </c:numRef>
          </c:val>
          <c:extLst>
            <c:ext xmlns:c16="http://schemas.microsoft.com/office/drawing/2014/chart" uri="{C3380CC4-5D6E-409C-BE32-E72D297353CC}">
              <c16:uniqueId val="{00000000-891E-4C10-8A38-F08A437278D9}"/>
            </c:ext>
          </c:extLst>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結果②!$W$11</c:f>
              <c:numCache>
                <c:formatCode>General</c:formatCode>
                <c:ptCount val="1"/>
                <c:pt idx="0">
                  <c:v>1</c:v>
                </c:pt>
              </c:numCache>
            </c:numRef>
          </c:val>
          <c:extLst>
            <c:ext xmlns:c16="http://schemas.microsoft.com/office/drawing/2014/chart" uri="{C3380CC4-5D6E-409C-BE32-E72D297353CC}">
              <c16:uniqueId val="{00000001-891E-4C10-8A38-F08A437278D9}"/>
            </c:ext>
          </c:extLst>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結果②!$X$11</c:f>
              <c:numCache>
                <c:formatCode>General</c:formatCode>
                <c:ptCount val="1"/>
                <c:pt idx="0">
                  <c:v>0</c:v>
                </c:pt>
              </c:numCache>
            </c:numRef>
          </c:val>
          <c:extLst>
            <c:ext xmlns:c16="http://schemas.microsoft.com/office/drawing/2014/chart" uri="{C3380CC4-5D6E-409C-BE32-E72D297353CC}">
              <c16:uniqueId val="{00000002-891E-4C10-8A38-F08A437278D9}"/>
            </c:ext>
          </c:extLst>
        </c:ser>
        <c:dLbls>
          <c:showLegendKey val="0"/>
          <c:showVal val="0"/>
          <c:showCatName val="0"/>
          <c:showSerName val="0"/>
          <c:showPercent val="0"/>
          <c:showBubbleSize val="0"/>
        </c:dLbls>
        <c:gapWidth val="0"/>
        <c:overlap val="100"/>
        <c:axId val="169293696"/>
        <c:axId val="169295232"/>
      </c:barChart>
      <c:catAx>
        <c:axId val="169293696"/>
        <c:scaling>
          <c:orientation val="minMax"/>
        </c:scaling>
        <c:delete val="1"/>
        <c:axPos val="b"/>
        <c:majorTickMark val="out"/>
        <c:minorTickMark val="none"/>
        <c:tickLblPos val="nextTo"/>
        <c:crossAx val="169295232"/>
        <c:crossesAt val="0"/>
        <c:auto val="1"/>
        <c:lblAlgn val="ctr"/>
        <c:lblOffset val="100"/>
        <c:noMultiLvlLbl val="0"/>
      </c:catAx>
      <c:valAx>
        <c:axId val="169295232"/>
        <c:scaling>
          <c:orientation val="minMax"/>
          <c:max val="1"/>
          <c:min val="0"/>
        </c:scaling>
        <c:delete val="1"/>
        <c:axPos val="l"/>
        <c:numFmt formatCode="General" sourceLinked="1"/>
        <c:majorTickMark val="out"/>
        <c:minorTickMark val="none"/>
        <c:tickLblPos val="nextTo"/>
        <c:crossAx val="169293696"/>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0261603023776"/>
          <c:y val="8.3700440528634359E-2"/>
          <c:w val="0.84146466729091329"/>
          <c:h val="0.63436123348017626"/>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6.0931193546198643E-5"/>
                  <c:y val="0.1468428781204111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B7-4278-8FDA-0F0FF1B1F068}"/>
                </c:ext>
              </c:extLst>
            </c:dLbl>
            <c:dLbl>
              <c:idx val="1"/>
              <c:layout>
                <c:manualLayout>
                  <c:x val="6.1584874108804553E-3"/>
                  <c:y val="0.142437591776798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B7-4278-8FDA-0F0FF1B1F068}"/>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結果②!$S$20:$S$21</c:f>
              <c:numCache>
                <c:formatCode>0.0_ </c:formatCode>
                <c:ptCount val="2"/>
                <c:pt idx="0">
                  <c:v>3</c:v>
                </c:pt>
                <c:pt idx="1">
                  <c:v>3</c:v>
                </c:pt>
              </c:numCache>
            </c:numRef>
          </c:val>
          <c:extLst>
            <c:ext xmlns:c16="http://schemas.microsoft.com/office/drawing/2014/chart" uri="{C3380CC4-5D6E-409C-BE32-E72D297353CC}">
              <c16:uniqueId val="{00000002-65B7-4278-8FDA-0F0FF1B1F068}"/>
            </c:ext>
          </c:extLst>
        </c:ser>
        <c:dLbls>
          <c:showLegendKey val="0"/>
          <c:showVal val="0"/>
          <c:showCatName val="0"/>
          <c:showSerName val="0"/>
          <c:showPercent val="0"/>
          <c:showBubbleSize val="0"/>
        </c:dLbls>
        <c:gapWidth val="70"/>
        <c:axId val="169316736"/>
        <c:axId val="169318272"/>
      </c:barChart>
      <c:scatterChart>
        <c:scatterStyle val="lineMarker"/>
        <c:varyColors val="0"/>
        <c:ser>
          <c:idx val="1"/>
          <c:order val="1"/>
          <c:spPr>
            <a:ln w="25400">
              <a:solidFill>
                <a:srgbClr val="FF0000"/>
              </a:solidFill>
              <a:prstDash val="solid"/>
            </a:ln>
          </c:spPr>
          <c:marker>
            <c:symbol val="none"/>
          </c:marker>
          <c:xVal>
            <c:numLit>
              <c:formatCode>General</c:formatCode>
              <c:ptCount val="2"/>
              <c:pt idx="0">
                <c:v>0.5</c:v>
              </c:pt>
              <c:pt idx="1">
                <c:v>2.5</c:v>
              </c:pt>
            </c:numLit>
          </c:xVal>
          <c:yVal>
            <c:numLit>
              <c:formatCode>General</c:formatCode>
              <c:ptCount val="2"/>
              <c:pt idx="0">
                <c:v>3</c:v>
              </c:pt>
              <c:pt idx="1">
                <c:v>3</c:v>
              </c:pt>
            </c:numLit>
          </c:yVal>
          <c:smooth val="0"/>
          <c:extLst>
            <c:ext xmlns:c16="http://schemas.microsoft.com/office/drawing/2014/chart" uri="{C3380CC4-5D6E-409C-BE32-E72D297353CC}">
              <c16:uniqueId val="{00000003-65B7-4278-8FDA-0F0FF1B1F068}"/>
            </c:ext>
          </c:extLst>
        </c:ser>
        <c:dLbls>
          <c:showLegendKey val="0"/>
          <c:showVal val="0"/>
          <c:showCatName val="0"/>
          <c:showSerName val="0"/>
          <c:showPercent val="0"/>
          <c:showBubbleSize val="0"/>
        </c:dLbls>
        <c:axId val="169316736"/>
        <c:axId val="169318272"/>
      </c:scatterChart>
      <c:catAx>
        <c:axId val="169316736"/>
        <c:scaling>
          <c:orientation val="minMax"/>
        </c:scaling>
        <c:delete val="0"/>
        <c:axPos val="b"/>
        <c:majorTickMark val="none"/>
        <c:minorTickMark val="none"/>
        <c:tickLblPos val="none"/>
        <c:spPr>
          <a:ln w="3175">
            <a:solidFill>
              <a:srgbClr val="000000"/>
            </a:solidFill>
            <a:prstDash val="solid"/>
          </a:ln>
        </c:spPr>
        <c:crossAx val="169318272"/>
        <c:crosses val="autoZero"/>
        <c:auto val="1"/>
        <c:lblAlgn val="ctr"/>
        <c:lblOffset val="100"/>
        <c:tickMarkSkip val="1"/>
        <c:noMultiLvlLbl val="0"/>
      </c:catAx>
      <c:valAx>
        <c:axId val="169318272"/>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69316736"/>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6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0261603023776"/>
          <c:y val="8.4444810958380898E-2"/>
          <c:w val="0.83841588226449704"/>
          <c:h val="0.63555831405518248"/>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3.8718313214284859E-3"/>
                  <c:y val="0.1459261832370375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0B-41B1-A788-91D28F5BAE3A}"/>
                </c:ext>
              </c:extLst>
            </c:dLbl>
            <c:dLbl>
              <c:idx val="1"/>
              <c:layout>
                <c:manualLayout>
                  <c:x val="8.4451527972193574E-3"/>
                  <c:y val="0.1414817195023859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0B-41B1-A788-91D28F5BAE3A}"/>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結果②!$S$16:$S$17</c:f>
              <c:numCache>
                <c:formatCode>0.0_ </c:formatCode>
                <c:ptCount val="2"/>
                <c:pt idx="0">
                  <c:v>3.0000000000000004</c:v>
                </c:pt>
                <c:pt idx="1">
                  <c:v>3</c:v>
                </c:pt>
              </c:numCache>
            </c:numRef>
          </c:val>
          <c:extLst>
            <c:ext xmlns:c16="http://schemas.microsoft.com/office/drawing/2014/chart" uri="{C3380CC4-5D6E-409C-BE32-E72D297353CC}">
              <c16:uniqueId val="{00000002-900B-41B1-A788-91D28F5BAE3A}"/>
            </c:ext>
          </c:extLst>
        </c:ser>
        <c:dLbls>
          <c:showLegendKey val="0"/>
          <c:showVal val="0"/>
          <c:showCatName val="0"/>
          <c:showSerName val="0"/>
          <c:showPercent val="0"/>
          <c:showBubbleSize val="0"/>
        </c:dLbls>
        <c:gapWidth val="70"/>
        <c:axId val="169360768"/>
        <c:axId val="169378944"/>
      </c:barChart>
      <c:scatterChart>
        <c:scatterStyle val="lineMarker"/>
        <c:varyColors val="0"/>
        <c:ser>
          <c:idx val="1"/>
          <c:order val="1"/>
          <c:spPr>
            <a:ln w="25400">
              <a:solidFill>
                <a:srgbClr val="FF0000"/>
              </a:solidFill>
              <a:prstDash val="solid"/>
            </a:ln>
          </c:spPr>
          <c:marker>
            <c:symbol val="none"/>
          </c:marker>
          <c:xVal>
            <c:numLit>
              <c:formatCode>General</c:formatCode>
              <c:ptCount val="2"/>
              <c:pt idx="0">
                <c:v>0.5</c:v>
              </c:pt>
              <c:pt idx="1">
                <c:v>2.5</c:v>
              </c:pt>
            </c:numLit>
          </c:xVal>
          <c:yVal>
            <c:numLit>
              <c:formatCode>General</c:formatCode>
              <c:ptCount val="2"/>
              <c:pt idx="0">
                <c:v>3</c:v>
              </c:pt>
              <c:pt idx="1">
                <c:v>3</c:v>
              </c:pt>
            </c:numLit>
          </c:yVal>
          <c:smooth val="0"/>
          <c:extLst>
            <c:ext xmlns:c16="http://schemas.microsoft.com/office/drawing/2014/chart" uri="{C3380CC4-5D6E-409C-BE32-E72D297353CC}">
              <c16:uniqueId val="{00000003-900B-41B1-A788-91D28F5BAE3A}"/>
            </c:ext>
          </c:extLst>
        </c:ser>
        <c:dLbls>
          <c:showLegendKey val="0"/>
          <c:showVal val="0"/>
          <c:showCatName val="0"/>
          <c:showSerName val="0"/>
          <c:showPercent val="0"/>
          <c:showBubbleSize val="0"/>
        </c:dLbls>
        <c:axId val="169360768"/>
        <c:axId val="169378944"/>
      </c:scatterChart>
      <c:catAx>
        <c:axId val="169360768"/>
        <c:scaling>
          <c:orientation val="minMax"/>
        </c:scaling>
        <c:delete val="0"/>
        <c:axPos val="b"/>
        <c:majorTickMark val="none"/>
        <c:minorTickMark val="none"/>
        <c:tickLblPos val="none"/>
        <c:spPr>
          <a:ln w="3175">
            <a:solidFill>
              <a:srgbClr val="000000"/>
            </a:solidFill>
            <a:prstDash val="solid"/>
          </a:ln>
        </c:spPr>
        <c:crossAx val="169378944"/>
        <c:crosses val="autoZero"/>
        <c:auto val="1"/>
        <c:lblAlgn val="ctr"/>
        <c:lblOffset val="100"/>
        <c:tickMarkSkip val="1"/>
        <c:noMultiLvlLbl val="0"/>
      </c:catAx>
      <c:valAx>
        <c:axId val="16937894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69360768"/>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0261603023776"/>
          <c:y val="8.0000347223729271E-2"/>
          <c:w val="0.84451345231732966"/>
          <c:h val="0.64000277778983417"/>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2.3472810365555582E-3"/>
                  <c:y val="0.1481481721550894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7A-486A-B7AF-7ECD441DB589}"/>
                </c:ext>
              </c:extLst>
            </c:dLbl>
            <c:dLbl>
              <c:idx val="1"/>
              <c:layout>
                <c:manualLayout>
                  <c:x val="6.9206070509579198E-3"/>
                  <c:y val="0.143703708420437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A-486A-B7AF-7ECD441DB589}"/>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結果②!$S$18:$S$19</c:f>
              <c:numCache>
                <c:formatCode>0.0_ </c:formatCode>
                <c:ptCount val="2"/>
                <c:pt idx="0">
                  <c:v>3</c:v>
                </c:pt>
                <c:pt idx="1">
                  <c:v>3</c:v>
                </c:pt>
              </c:numCache>
            </c:numRef>
          </c:val>
          <c:extLst>
            <c:ext xmlns:c16="http://schemas.microsoft.com/office/drawing/2014/chart" uri="{C3380CC4-5D6E-409C-BE32-E72D297353CC}">
              <c16:uniqueId val="{00000002-E07A-486A-B7AF-7ECD441DB589}"/>
            </c:ext>
          </c:extLst>
        </c:ser>
        <c:dLbls>
          <c:showLegendKey val="0"/>
          <c:showVal val="0"/>
          <c:showCatName val="0"/>
          <c:showSerName val="0"/>
          <c:showPercent val="0"/>
          <c:showBubbleSize val="0"/>
        </c:dLbls>
        <c:gapWidth val="70"/>
        <c:axId val="173021824"/>
        <c:axId val="173035904"/>
      </c:barChart>
      <c:scatterChart>
        <c:scatterStyle val="lineMarker"/>
        <c:varyColors val="0"/>
        <c:ser>
          <c:idx val="1"/>
          <c:order val="1"/>
          <c:spPr>
            <a:ln w="25400">
              <a:solidFill>
                <a:srgbClr val="FF0000"/>
              </a:solidFill>
              <a:prstDash val="solid"/>
            </a:ln>
          </c:spPr>
          <c:marker>
            <c:symbol val="none"/>
          </c:marker>
          <c:xVal>
            <c:numLit>
              <c:formatCode>General</c:formatCode>
              <c:ptCount val="2"/>
              <c:pt idx="0">
                <c:v>0.5</c:v>
              </c:pt>
              <c:pt idx="1">
                <c:v>2.5</c:v>
              </c:pt>
            </c:numLit>
          </c:xVal>
          <c:yVal>
            <c:numLit>
              <c:formatCode>General</c:formatCode>
              <c:ptCount val="2"/>
              <c:pt idx="0">
                <c:v>3</c:v>
              </c:pt>
              <c:pt idx="1">
                <c:v>3</c:v>
              </c:pt>
            </c:numLit>
          </c:yVal>
          <c:smooth val="0"/>
          <c:extLst>
            <c:ext xmlns:c16="http://schemas.microsoft.com/office/drawing/2014/chart" uri="{C3380CC4-5D6E-409C-BE32-E72D297353CC}">
              <c16:uniqueId val="{00000003-E07A-486A-B7AF-7ECD441DB589}"/>
            </c:ext>
          </c:extLst>
        </c:ser>
        <c:dLbls>
          <c:showLegendKey val="0"/>
          <c:showVal val="0"/>
          <c:showCatName val="0"/>
          <c:showSerName val="0"/>
          <c:showPercent val="0"/>
          <c:showBubbleSize val="0"/>
        </c:dLbls>
        <c:axId val="173021824"/>
        <c:axId val="173035904"/>
      </c:scatterChart>
      <c:catAx>
        <c:axId val="173021824"/>
        <c:scaling>
          <c:orientation val="minMax"/>
        </c:scaling>
        <c:delete val="0"/>
        <c:axPos val="b"/>
        <c:majorTickMark val="none"/>
        <c:minorTickMark val="none"/>
        <c:tickLblPos val="none"/>
        <c:spPr>
          <a:ln w="3175">
            <a:solidFill>
              <a:srgbClr val="000000"/>
            </a:solidFill>
            <a:prstDash val="solid"/>
          </a:ln>
        </c:spPr>
        <c:crossAx val="173035904"/>
        <c:crosses val="autoZero"/>
        <c:auto val="1"/>
        <c:lblAlgn val="ctr"/>
        <c:lblOffset val="100"/>
        <c:tickMarkSkip val="1"/>
        <c:noMultiLvlLbl val="0"/>
      </c:catAx>
      <c:valAx>
        <c:axId val="17303590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73021824"/>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27323169662576E-2"/>
          <c:y val="6.5359894300795932E-2"/>
          <c:w val="0.95909303775976062"/>
          <c:h val="0.85621461534042675"/>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結果②!$V$12</c:f>
              <c:numCache>
                <c:formatCode>General</c:formatCode>
                <c:ptCount val="1"/>
                <c:pt idx="0">
                  <c:v>0</c:v>
                </c:pt>
              </c:numCache>
            </c:numRef>
          </c:val>
          <c:extLst>
            <c:ext xmlns:c16="http://schemas.microsoft.com/office/drawing/2014/chart" uri="{C3380CC4-5D6E-409C-BE32-E72D297353CC}">
              <c16:uniqueId val="{00000000-C8B8-4C17-ABA5-282871A2CA18}"/>
            </c:ext>
          </c:extLst>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結果②!$W$12</c:f>
              <c:numCache>
                <c:formatCode>General</c:formatCode>
                <c:ptCount val="1"/>
                <c:pt idx="0">
                  <c:v>1</c:v>
                </c:pt>
              </c:numCache>
            </c:numRef>
          </c:val>
          <c:extLst>
            <c:ext xmlns:c16="http://schemas.microsoft.com/office/drawing/2014/chart" uri="{C3380CC4-5D6E-409C-BE32-E72D297353CC}">
              <c16:uniqueId val="{00000001-C8B8-4C17-ABA5-282871A2CA18}"/>
            </c:ext>
          </c:extLst>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結果②!$X$12</c:f>
              <c:numCache>
                <c:formatCode>General</c:formatCode>
                <c:ptCount val="1"/>
                <c:pt idx="0">
                  <c:v>0</c:v>
                </c:pt>
              </c:numCache>
            </c:numRef>
          </c:val>
          <c:extLst>
            <c:ext xmlns:c16="http://schemas.microsoft.com/office/drawing/2014/chart" uri="{C3380CC4-5D6E-409C-BE32-E72D297353CC}">
              <c16:uniqueId val="{00000002-C8B8-4C17-ABA5-282871A2CA18}"/>
            </c:ext>
          </c:extLst>
        </c:ser>
        <c:dLbls>
          <c:showLegendKey val="0"/>
          <c:showVal val="0"/>
          <c:showCatName val="0"/>
          <c:showSerName val="0"/>
          <c:showPercent val="0"/>
          <c:showBubbleSize val="0"/>
        </c:dLbls>
        <c:gapWidth val="0"/>
        <c:overlap val="100"/>
        <c:axId val="173070208"/>
        <c:axId val="173071744"/>
      </c:barChart>
      <c:catAx>
        <c:axId val="173070208"/>
        <c:scaling>
          <c:orientation val="minMax"/>
        </c:scaling>
        <c:delete val="1"/>
        <c:axPos val="b"/>
        <c:majorTickMark val="out"/>
        <c:minorTickMark val="none"/>
        <c:tickLblPos val="nextTo"/>
        <c:crossAx val="173071744"/>
        <c:crossesAt val="0"/>
        <c:auto val="1"/>
        <c:lblAlgn val="ctr"/>
        <c:lblOffset val="100"/>
        <c:noMultiLvlLbl val="0"/>
      </c:catAx>
      <c:valAx>
        <c:axId val="173071744"/>
        <c:scaling>
          <c:orientation val="minMax"/>
          <c:max val="1"/>
          <c:min val="0"/>
        </c:scaling>
        <c:delete val="1"/>
        <c:axPos val="l"/>
        <c:numFmt formatCode="General" sourceLinked="1"/>
        <c:majorTickMark val="out"/>
        <c:minorTickMark val="none"/>
        <c:tickLblPos val="nextTo"/>
        <c:crossAx val="173070208"/>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27323169662576E-2"/>
          <c:y val="6.5359894300795932E-2"/>
          <c:w val="0.95909303775976062"/>
          <c:h val="0.85621461534042675"/>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結果②!$V$13</c:f>
              <c:numCache>
                <c:formatCode>General</c:formatCode>
                <c:ptCount val="1"/>
                <c:pt idx="0">
                  <c:v>0</c:v>
                </c:pt>
              </c:numCache>
            </c:numRef>
          </c:val>
          <c:extLst>
            <c:ext xmlns:c16="http://schemas.microsoft.com/office/drawing/2014/chart" uri="{C3380CC4-5D6E-409C-BE32-E72D297353CC}">
              <c16:uniqueId val="{00000000-9278-49EA-B6A0-713460F78A75}"/>
            </c:ext>
          </c:extLst>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結果②!$W$13</c:f>
              <c:numCache>
                <c:formatCode>General</c:formatCode>
                <c:ptCount val="1"/>
                <c:pt idx="0">
                  <c:v>1</c:v>
                </c:pt>
              </c:numCache>
            </c:numRef>
          </c:val>
          <c:extLst>
            <c:ext xmlns:c16="http://schemas.microsoft.com/office/drawing/2014/chart" uri="{C3380CC4-5D6E-409C-BE32-E72D297353CC}">
              <c16:uniqueId val="{00000001-9278-49EA-B6A0-713460F78A75}"/>
            </c:ext>
          </c:extLst>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結果②!$X$13</c:f>
              <c:numCache>
                <c:formatCode>General</c:formatCode>
                <c:ptCount val="1"/>
                <c:pt idx="0">
                  <c:v>0</c:v>
                </c:pt>
              </c:numCache>
            </c:numRef>
          </c:val>
          <c:extLst>
            <c:ext xmlns:c16="http://schemas.microsoft.com/office/drawing/2014/chart" uri="{C3380CC4-5D6E-409C-BE32-E72D297353CC}">
              <c16:uniqueId val="{00000002-9278-49EA-B6A0-713460F78A75}"/>
            </c:ext>
          </c:extLst>
        </c:ser>
        <c:dLbls>
          <c:showLegendKey val="0"/>
          <c:showVal val="0"/>
          <c:showCatName val="0"/>
          <c:showSerName val="0"/>
          <c:showPercent val="0"/>
          <c:showBubbleSize val="0"/>
        </c:dLbls>
        <c:gapWidth val="0"/>
        <c:overlap val="100"/>
        <c:axId val="172781952"/>
        <c:axId val="172783488"/>
      </c:barChart>
      <c:catAx>
        <c:axId val="172781952"/>
        <c:scaling>
          <c:orientation val="minMax"/>
        </c:scaling>
        <c:delete val="1"/>
        <c:axPos val="b"/>
        <c:majorTickMark val="out"/>
        <c:minorTickMark val="none"/>
        <c:tickLblPos val="nextTo"/>
        <c:crossAx val="172783488"/>
        <c:crossesAt val="0"/>
        <c:auto val="1"/>
        <c:lblAlgn val="ctr"/>
        <c:lblOffset val="100"/>
        <c:noMultiLvlLbl val="0"/>
      </c:catAx>
      <c:valAx>
        <c:axId val="172783488"/>
        <c:scaling>
          <c:orientation val="minMax"/>
          <c:max val="1"/>
          <c:min val="0"/>
        </c:scaling>
        <c:delete val="1"/>
        <c:axPos val="l"/>
        <c:numFmt formatCode="General" sourceLinked="1"/>
        <c:majorTickMark val="out"/>
        <c:minorTickMark val="none"/>
        <c:tickLblPos val="nextTo"/>
        <c:crossAx val="172781952"/>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747945881251E-2"/>
          <c:y val="2.4154703326461194E-2"/>
          <c:w val="0.92525889635714043"/>
          <c:h val="0.9468643703972787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extLst>
            <c:ext xmlns:c16="http://schemas.microsoft.com/office/drawing/2014/chart" uri="{C3380CC4-5D6E-409C-BE32-E72D297353CC}">
              <c16:uniqueId val="{00000000-590A-4281-BD7D-57C329F5BD60}"/>
            </c:ext>
          </c:extLst>
        </c:ser>
        <c:dLbls>
          <c:showLegendKey val="0"/>
          <c:showVal val="0"/>
          <c:showCatName val="0"/>
          <c:showSerName val="0"/>
          <c:showPercent val="0"/>
          <c:showBubbleSize val="0"/>
        </c:dLbls>
        <c:gapWidth val="150"/>
        <c:overlap val="100"/>
        <c:axId val="172817408"/>
        <c:axId val="172892928"/>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extLst>
            <c:ext xmlns:c16="http://schemas.microsoft.com/office/drawing/2014/chart" uri="{C3380CC4-5D6E-409C-BE32-E72D297353CC}">
              <c16:uniqueId val="{00000001-590A-4281-BD7D-57C329F5BD60}"/>
            </c:ext>
          </c:extLst>
        </c:ser>
        <c:dLbls>
          <c:showLegendKey val="0"/>
          <c:showVal val="0"/>
          <c:showCatName val="0"/>
          <c:showSerName val="0"/>
          <c:showPercent val="0"/>
          <c:showBubbleSize val="0"/>
        </c:dLbls>
        <c:gapWidth val="150"/>
        <c:axId val="172894464"/>
        <c:axId val="172896256"/>
      </c:barChart>
      <c:catAx>
        <c:axId val="172817408"/>
        <c:scaling>
          <c:orientation val="minMax"/>
        </c:scaling>
        <c:delete val="0"/>
        <c:axPos val="l"/>
        <c:majorTickMark val="in"/>
        <c:minorTickMark val="none"/>
        <c:tickLblPos val="none"/>
        <c:spPr>
          <a:ln w="9525">
            <a:noFill/>
          </a:ln>
        </c:spPr>
        <c:crossAx val="172892928"/>
        <c:crossesAt val="0"/>
        <c:auto val="1"/>
        <c:lblAlgn val="ctr"/>
        <c:lblOffset val="100"/>
        <c:tickMarkSkip val="1"/>
        <c:noMultiLvlLbl val="0"/>
      </c:catAx>
      <c:valAx>
        <c:axId val="172892928"/>
        <c:scaling>
          <c:orientation val="minMax"/>
          <c:max val="5"/>
          <c:min val="0"/>
        </c:scaling>
        <c:delete val="0"/>
        <c:axPos val="b"/>
        <c:numFmt formatCode="0.0_ " sourceLinked="1"/>
        <c:majorTickMark val="none"/>
        <c:minorTickMark val="none"/>
        <c:tickLblPos val="none"/>
        <c:spPr>
          <a:ln w="9525">
            <a:noFill/>
          </a:ln>
        </c:spPr>
        <c:crossAx val="172817408"/>
        <c:crosses val="autoZero"/>
        <c:crossBetween val="between"/>
        <c:majorUnit val="1"/>
        <c:minorUnit val="0.2"/>
      </c:valAx>
      <c:catAx>
        <c:axId val="172894464"/>
        <c:scaling>
          <c:orientation val="minMax"/>
        </c:scaling>
        <c:delete val="1"/>
        <c:axPos val="l"/>
        <c:majorTickMark val="out"/>
        <c:minorTickMark val="none"/>
        <c:tickLblPos val="nextTo"/>
        <c:crossAx val="172896256"/>
        <c:crosses val="autoZero"/>
        <c:auto val="1"/>
        <c:lblAlgn val="ctr"/>
        <c:lblOffset val="100"/>
        <c:noMultiLvlLbl val="0"/>
      </c:catAx>
      <c:valAx>
        <c:axId val="172896256"/>
        <c:scaling>
          <c:orientation val="minMax"/>
          <c:max val="0"/>
          <c:min val="-5"/>
        </c:scaling>
        <c:delete val="0"/>
        <c:axPos val="t"/>
        <c:numFmt formatCode="0.0_ " sourceLinked="1"/>
        <c:majorTickMark val="none"/>
        <c:minorTickMark val="none"/>
        <c:tickLblPos val="none"/>
        <c:spPr>
          <a:ln w="9525">
            <a:noFill/>
          </a:ln>
        </c:spPr>
        <c:crossAx val="17289446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747945881251E-2"/>
          <c:y val="2.4154703326461194E-2"/>
          <c:w val="0.92525889635714043"/>
          <c:h val="0.9468643703972787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c:v>
                </c:pt>
              </c:numCache>
            </c:numRef>
          </c:val>
          <c:extLst>
            <c:ext xmlns:c16="http://schemas.microsoft.com/office/drawing/2014/chart" uri="{C3380CC4-5D6E-409C-BE32-E72D297353CC}">
              <c16:uniqueId val="{00000000-425E-4830-8271-DDF36DC8D9AB}"/>
            </c:ext>
          </c:extLst>
        </c:ser>
        <c:dLbls>
          <c:showLegendKey val="0"/>
          <c:showVal val="0"/>
          <c:showCatName val="0"/>
          <c:showSerName val="0"/>
          <c:showPercent val="0"/>
          <c:showBubbleSize val="0"/>
        </c:dLbls>
        <c:gapWidth val="150"/>
        <c:overlap val="100"/>
        <c:axId val="172921984"/>
        <c:axId val="172923520"/>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-2</c:v>
                </c:pt>
              </c:numCache>
            </c:numRef>
          </c:val>
          <c:extLst>
            <c:ext xmlns:c16="http://schemas.microsoft.com/office/drawing/2014/chart" uri="{C3380CC4-5D6E-409C-BE32-E72D297353CC}">
              <c16:uniqueId val="{00000001-425E-4830-8271-DDF36DC8D9AB}"/>
            </c:ext>
          </c:extLst>
        </c:ser>
        <c:dLbls>
          <c:showLegendKey val="0"/>
          <c:showVal val="0"/>
          <c:showCatName val="0"/>
          <c:showSerName val="0"/>
          <c:showPercent val="0"/>
          <c:showBubbleSize val="0"/>
        </c:dLbls>
        <c:gapWidth val="150"/>
        <c:axId val="172933504"/>
        <c:axId val="172935040"/>
      </c:barChart>
      <c:catAx>
        <c:axId val="172921984"/>
        <c:scaling>
          <c:orientation val="minMax"/>
        </c:scaling>
        <c:delete val="0"/>
        <c:axPos val="l"/>
        <c:majorTickMark val="in"/>
        <c:minorTickMark val="none"/>
        <c:tickLblPos val="none"/>
        <c:spPr>
          <a:ln w="9525">
            <a:noFill/>
          </a:ln>
        </c:spPr>
        <c:crossAx val="172923520"/>
        <c:crossesAt val="0"/>
        <c:auto val="1"/>
        <c:lblAlgn val="ctr"/>
        <c:lblOffset val="100"/>
        <c:tickMarkSkip val="1"/>
        <c:noMultiLvlLbl val="0"/>
      </c:catAx>
      <c:valAx>
        <c:axId val="172923520"/>
        <c:scaling>
          <c:orientation val="minMax"/>
          <c:max val="5"/>
          <c:min val="0"/>
        </c:scaling>
        <c:delete val="0"/>
        <c:axPos val="b"/>
        <c:numFmt formatCode="0.0_ " sourceLinked="1"/>
        <c:majorTickMark val="none"/>
        <c:minorTickMark val="none"/>
        <c:tickLblPos val="none"/>
        <c:spPr>
          <a:ln w="9525">
            <a:noFill/>
          </a:ln>
        </c:spPr>
        <c:crossAx val="172921984"/>
        <c:crosses val="autoZero"/>
        <c:crossBetween val="between"/>
        <c:majorUnit val="1"/>
        <c:minorUnit val="0.2"/>
      </c:valAx>
      <c:catAx>
        <c:axId val="172933504"/>
        <c:scaling>
          <c:orientation val="minMax"/>
        </c:scaling>
        <c:delete val="1"/>
        <c:axPos val="l"/>
        <c:majorTickMark val="out"/>
        <c:minorTickMark val="none"/>
        <c:tickLblPos val="nextTo"/>
        <c:crossAx val="172935040"/>
        <c:crosses val="autoZero"/>
        <c:auto val="1"/>
        <c:lblAlgn val="ctr"/>
        <c:lblOffset val="100"/>
        <c:noMultiLvlLbl val="0"/>
      </c:catAx>
      <c:valAx>
        <c:axId val="172935040"/>
        <c:scaling>
          <c:orientation val="minMax"/>
          <c:max val="0"/>
          <c:min val="-5"/>
        </c:scaling>
        <c:delete val="0"/>
        <c:axPos val="t"/>
        <c:numFmt formatCode="0.0_ " sourceLinked="1"/>
        <c:majorTickMark val="none"/>
        <c:minorTickMark val="none"/>
        <c:tickLblPos val="none"/>
        <c:spPr>
          <a:ln w="9525">
            <a:noFill/>
          </a:ln>
        </c:spPr>
        <c:crossAx val="17293350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747945881251E-2"/>
          <c:y val="2.4154703326461194E-2"/>
          <c:w val="0.92525889635714043"/>
          <c:h val="0.9468643703972787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3</c:v>
                </c:pt>
              </c:numCache>
            </c:numRef>
          </c:val>
          <c:extLst>
            <c:ext xmlns:c16="http://schemas.microsoft.com/office/drawing/2014/chart" uri="{C3380CC4-5D6E-409C-BE32-E72D297353CC}">
              <c16:uniqueId val="{00000000-E507-4763-A440-20E763DD03D4}"/>
            </c:ext>
          </c:extLst>
        </c:ser>
        <c:dLbls>
          <c:showLegendKey val="0"/>
          <c:showVal val="0"/>
          <c:showCatName val="0"/>
          <c:showSerName val="0"/>
          <c:showPercent val="0"/>
          <c:showBubbleSize val="0"/>
        </c:dLbls>
        <c:gapWidth val="150"/>
        <c:overlap val="100"/>
        <c:axId val="172964864"/>
        <c:axId val="172966656"/>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-2</c:v>
                </c:pt>
              </c:numCache>
            </c:numRef>
          </c:val>
          <c:extLst>
            <c:ext xmlns:c16="http://schemas.microsoft.com/office/drawing/2014/chart" uri="{C3380CC4-5D6E-409C-BE32-E72D297353CC}">
              <c16:uniqueId val="{00000001-E507-4763-A440-20E763DD03D4}"/>
            </c:ext>
          </c:extLst>
        </c:ser>
        <c:dLbls>
          <c:showLegendKey val="0"/>
          <c:showVal val="0"/>
          <c:showCatName val="0"/>
          <c:showSerName val="0"/>
          <c:showPercent val="0"/>
          <c:showBubbleSize val="0"/>
        </c:dLbls>
        <c:gapWidth val="150"/>
        <c:axId val="172968192"/>
        <c:axId val="172974080"/>
      </c:barChart>
      <c:catAx>
        <c:axId val="172964864"/>
        <c:scaling>
          <c:orientation val="minMax"/>
        </c:scaling>
        <c:delete val="0"/>
        <c:axPos val="l"/>
        <c:majorTickMark val="in"/>
        <c:minorTickMark val="none"/>
        <c:tickLblPos val="none"/>
        <c:spPr>
          <a:ln w="9525">
            <a:noFill/>
          </a:ln>
        </c:spPr>
        <c:crossAx val="172966656"/>
        <c:crossesAt val="0"/>
        <c:auto val="1"/>
        <c:lblAlgn val="ctr"/>
        <c:lblOffset val="100"/>
        <c:tickMarkSkip val="1"/>
        <c:noMultiLvlLbl val="0"/>
      </c:catAx>
      <c:valAx>
        <c:axId val="172966656"/>
        <c:scaling>
          <c:orientation val="minMax"/>
          <c:max val="5"/>
          <c:min val="0"/>
        </c:scaling>
        <c:delete val="0"/>
        <c:axPos val="b"/>
        <c:numFmt formatCode="0.0_ " sourceLinked="1"/>
        <c:majorTickMark val="none"/>
        <c:minorTickMark val="none"/>
        <c:tickLblPos val="none"/>
        <c:spPr>
          <a:ln w="9525">
            <a:noFill/>
          </a:ln>
        </c:spPr>
        <c:crossAx val="172964864"/>
        <c:crosses val="autoZero"/>
        <c:crossBetween val="between"/>
        <c:majorUnit val="1"/>
        <c:minorUnit val="0.2"/>
      </c:valAx>
      <c:catAx>
        <c:axId val="172968192"/>
        <c:scaling>
          <c:orientation val="minMax"/>
        </c:scaling>
        <c:delete val="1"/>
        <c:axPos val="l"/>
        <c:majorTickMark val="out"/>
        <c:minorTickMark val="none"/>
        <c:tickLblPos val="nextTo"/>
        <c:crossAx val="172974080"/>
        <c:crosses val="autoZero"/>
        <c:auto val="1"/>
        <c:lblAlgn val="ctr"/>
        <c:lblOffset val="100"/>
        <c:noMultiLvlLbl val="0"/>
      </c:catAx>
      <c:valAx>
        <c:axId val="172974080"/>
        <c:scaling>
          <c:orientation val="minMax"/>
          <c:max val="0"/>
          <c:min val="-5"/>
        </c:scaling>
        <c:delete val="0"/>
        <c:axPos val="t"/>
        <c:numFmt formatCode="0.0_ " sourceLinked="1"/>
        <c:majorTickMark val="none"/>
        <c:minorTickMark val="none"/>
        <c:tickLblPos val="none"/>
        <c:spPr>
          <a:ln w="9525">
            <a:noFill/>
          </a:ln>
        </c:spPr>
        <c:crossAx val="172968192"/>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054054054057E-2"/>
          <c:y val="1.8248207701670318E-2"/>
          <c:w val="0.93629343629343631"/>
          <c:h val="0.95985572510785866"/>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3</c:v>
                </c:pt>
              </c:numCache>
            </c:numRef>
          </c:val>
          <c:extLst>
            <c:ext xmlns:c16="http://schemas.microsoft.com/office/drawing/2014/chart" uri="{C3380CC4-5D6E-409C-BE32-E72D297353CC}">
              <c16:uniqueId val="{00000000-5EBB-4379-B43D-D9491AD42C24}"/>
            </c:ext>
          </c:extLst>
        </c:ser>
        <c:dLbls>
          <c:showLegendKey val="0"/>
          <c:showVal val="0"/>
          <c:showCatName val="0"/>
          <c:showSerName val="0"/>
          <c:showPercent val="0"/>
          <c:showBubbleSize val="0"/>
        </c:dLbls>
        <c:gapWidth val="150"/>
        <c:overlap val="100"/>
        <c:axId val="186849920"/>
        <c:axId val="186855808"/>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-2</c:v>
                </c:pt>
              </c:numCache>
            </c:numRef>
          </c:val>
          <c:extLst>
            <c:ext xmlns:c16="http://schemas.microsoft.com/office/drawing/2014/chart" uri="{C3380CC4-5D6E-409C-BE32-E72D297353CC}">
              <c16:uniqueId val="{00000001-5EBB-4379-B43D-D9491AD42C24}"/>
            </c:ext>
          </c:extLst>
        </c:ser>
        <c:dLbls>
          <c:showLegendKey val="0"/>
          <c:showVal val="0"/>
          <c:showCatName val="0"/>
          <c:showSerName val="0"/>
          <c:showPercent val="0"/>
          <c:showBubbleSize val="0"/>
        </c:dLbls>
        <c:gapWidth val="150"/>
        <c:axId val="186857344"/>
        <c:axId val="186858880"/>
      </c:barChart>
      <c:catAx>
        <c:axId val="186849920"/>
        <c:scaling>
          <c:orientation val="minMax"/>
        </c:scaling>
        <c:delete val="0"/>
        <c:axPos val="l"/>
        <c:majorTickMark val="in"/>
        <c:minorTickMark val="none"/>
        <c:tickLblPos val="none"/>
        <c:spPr>
          <a:ln w="9525">
            <a:noFill/>
          </a:ln>
        </c:spPr>
        <c:crossAx val="186855808"/>
        <c:crossesAt val="0"/>
        <c:auto val="1"/>
        <c:lblAlgn val="ctr"/>
        <c:lblOffset val="100"/>
        <c:tickMarkSkip val="1"/>
        <c:noMultiLvlLbl val="0"/>
      </c:catAx>
      <c:valAx>
        <c:axId val="186855808"/>
        <c:scaling>
          <c:orientation val="minMax"/>
          <c:max val="5"/>
          <c:min val="0"/>
        </c:scaling>
        <c:delete val="0"/>
        <c:axPos val="b"/>
        <c:numFmt formatCode="0.0_ " sourceLinked="1"/>
        <c:majorTickMark val="none"/>
        <c:minorTickMark val="none"/>
        <c:tickLblPos val="none"/>
        <c:spPr>
          <a:ln w="9525">
            <a:noFill/>
          </a:ln>
        </c:spPr>
        <c:crossAx val="186849920"/>
        <c:crosses val="autoZero"/>
        <c:crossBetween val="between"/>
        <c:majorUnit val="1"/>
        <c:minorUnit val="0.2"/>
      </c:valAx>
      <c:catAx>
        <c:axId val="186857344"/>
        <c:scaling>
          <c:orientation val="minMax"/>
        </c:scaling>
        <c:delete val="1"/>
        <c:axPos val="l"/>
        <c:majorTickMark val="out"/>
        <c:minorTickMark val="none"/>
        <c:tickLblPos val="nextTo"/>
        <c:crossAx val="186858880"/>
        <c:crosses val="autoZero"/>
        <c:auto val="1"/>
        <c:lblAlgn val="ctr"/>
        <c:lblOffset val="100"/>
        <c:noMultiLvlLbl val="0"/>
      </c:catAx>
      <c:valAx>
        <c:axId val="186858880"/>
        <c:scaling>
          <c:orientation val="minMax"/>
          <c:max val="0"/>
          <c:min val="-5"/>
        </c:scaling>
        <c:delete val="0"/>
        <c:axPos val="t"/>
        <c:numFmt formatCode="0.0_ " sourceLinked="1"/>
        <c:majorTickMark val="none"/>
        <c:minorTickMark val="none"/>
        <c:tickLblPos val="none"/>
        <c:spPr>
          <a:ln w="9525">
            <a:noFill/>
          </a:ln>
        </c:spPr>
        <c:crossAx val="18685734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054054054057E-2"/>
          <c:y val="1.8116006128305197E-2"/>
          <c:w val="0.93629343629343631"/>
          <c:h val="0.960148324800175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c:v>
                </c:pt>
              </c:numCache>
            </c:numRef>
          </c:val>
          <c:extLst>
            <c:ext xmlns:c16="http://schemas.microsoft.com/office/drawing/2014/chart" uri="{C3380CC4-5D6E-409C-BE32-E72D297353CC}">
              <c16:uniqueId val="{00000000-F216-4420-86EC-51B0F20C4E60}"/>
            </c:ext>
          </c:extLst>
        </c:ser>
        <c:dLbls>
          <c:showLegendKey val="0"/>
          <c:showVal val="0"/>
          <c:showCatName val="0"/>
          <c:showSerName val="0"/>
          <c:showPercent val="0"/>
          <c:showBubbleSize val="0"/>
        </c:dLbls>
        <c:gapWidth val="150"/>
        <c:overlap val="100"/>
        <c:axId val="186893056"/>
        <c:axId val="186894592"/>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-2</c:v>
                </c:pt>
              </c:numCache>
            </c:numRef>
          </c:val>
          <c:extLst>
            <c:ext xmlns:c16="http://schemas.microsoft.com/office/drawing/2014/chart" uri="{C3380CC4-5D6E-409C-BE32-E72D297353CC}">
              <c16:uniqueId val="{00000001-F216-4420-86EC-51B0F20C4E60}"/>
            </c:ext>
          </c:extLst>
        </c:ser>
        <c:dLbls>
          <c:showLegendKey val="0"/>
          <c:showVal val="0"/>
          <c:showCatName val="0"/>
          <c:showSerName val="0"/>
          <c:showPercent val="0"/>
          <c:showBubbleSize val="0"/>
        </c:dLbls>
        <c:gapWidth val="150"/>
        <c:axId val="186904576"/>
        <c:axId val="186906112"/>
      </c:barChart>
      <c:catAx>
        <c:axId val="186893056"/>
        <c:scaling>
          <c:orientation val="minMax"/>
        </c:scaling>
        <c:delete val="0"/>
        <c:axPos val="l"/>
        <c:majorTickMark val="in"/>
        <c:minorTickMark val="none"/>
        <c:tickLblPos val="none"/>
        <c:spPr>
          <a:ln w="9525">
            <a:noFill/>
          </a:ln>
        </c:spPr>
        <c:crossAx val="186894592"/>
        <c:crossesAt val="0"/>
        <c:auto val="1"/>
        <c:lblAlgn val="ctr"/>
        <c:lblOffset val="100"/>
        <c:tickMarkSkip val="1"/>
        <c:noMultiLvlLbl val="0"/>
      </c:catAx>
      <c:valAx>
        <c:axId val="186894592"/>
        <c:scaling>
          <c:orientation val="minMax"/>
          <c:max val="5"/>
          <c:min val="0"/>
        </c:scaling>
        <c:delete val="0"/>
        <c:axPos val="b"/>
        <c:numFmt formatCode="0.0_ " sourceLinked="1"/>
        <c:majorTickMark val="none"/>
        <c:minorTickMark val="none"/>
        <c:tickLblPos val="none"/>
        <c:spPr>
          <a:ln w="9525">
            <a:noFill/>
          </a:ln>
        </c:spPr>
        <c:crossAx val="186893056"/>
        <c:crosses val="autoZero"/>
        <c:crossBetween val="between"/>
        <c:majorUnit val="1"/>
        <c:minorUnit val="0.2"/>
      </c:valAx>
      <c:catAx>
        <c:axId val="186904576"/>
        <c:scaling>
          <c:orientation val="minMax"/>
        </c:scaling>
        <c:delete val="1"/>
        <c:axPos val="l"/>
        <c:majorTickMark val="out"/>
        <c:minorTickMark val="none"/>
        <c:tickLblPos val="nextTo"/>
        <c:crossAx val="186906112"/>
        <c:crosses val="autoZero"/>
        <c:auto val="1"/>
        <c:lblAlgn val="ctr"/>
        <c:lblOffset val="100"/>
        <c:noMultiLvlLbl val="0"/>
      </c:catAx>
      <c:valAx>
        <c:axId val="186906112"/>
        <c:scaling>
          <c:orientation val="minMax"/>
          <c:max val="0"/>
          <c:min val="-5"/>
        </c:scaling>
        <c:delete val="0"/>
        <c:axPos val="t"/>
        <c:numFmt formatCode="0.0_ " sourceLinked="1"/>
        <c:majorTickMark val="none"/>
        <c:minorTickMark val="none"/>
        <c:tickLblPos val="none"/>
        <c:spPr>
          <a:ln w="9525">
            <a:noFill/>
          </a:ln>
        </c:spPr>
        <c:crossAx val="186904576"/>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9305019305019E-2"/>
          <c:y val="1.8116006128305197E-2"/>
          <c:w val="0.94015444015444016"/>
          <c:h val="0.960148324800175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extLst>
            <c:ext xmlns:c16="http://schemas.microsoft.com/office/drawing/2014/chart" uri="{C3380CC4-5D6E-409C-BE32-E72D297353CC}">
              <c16:uniqueId val="{00000000-70DE-4BBC-AAB5-F6F6A1947088}"/>
            </c:ext>
          </c:extLst>
        </c:ser>
        <c:dLbls>
          <c:showLegendKey val="0"/>
          <c:showVal val="0"/>
          <c:showCatName val="0"/>
          <c:showSerName val="0"/>
          <c:showPercent val="0"/>
          <c:showBubbleSize val="0"/>
        </c:dLbls>
        <c:gapWidth val="150"/>
        <c:overlap val="100"/>
        <c:axId val="187214464"/>
        <c:axId val="187216256"/>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extLst>
            <c:ext xmlns:c16="http://schemas.microsoft.com/office/drawing/2014/chart" uri="{C3380CC4-5D6E-409C-BE32-E72D297353CC}">
              <c16:uniqueId val="{00000001-70DE-4BBC-AAB5-F6F6A1947088}"/>
            </c:ext>
          </c:extLst>
        </c:ser>
        <c:dLbls>
          <c:showLegendKey val="0"/>
          <c:showVal val="0"/>
          <c:showCatName val="0"/>
          <c:showSerName val="0"/>
          <c:showPercent val="0"/>
          <c:showBubbleSize val="0"/>
        </c:dLbls>
        <c:gapWidth val="150"/>
        <c:axId val="187217792"/>
        <c:axId val="187219328"/>
      </c:barChart>
      <c:catAx>
        <c:axId val="187214464"/>
        <c:scaling>
          <c:orientation val="minMax"/>
        </c:scaling>
        <c:delete val="0"/>
        <c:axPos val="l"/>
        <c:majorTickMark val="in"/>
        <c:minorTickMark val="none"/>
        <c:tickLblPos val="none"/>
        <c:spPr>
          <a:ln w="9525">
            <a:noFill/>
          </a:ln>
        </c:spPr>
        <c:crossAx val="187216256"/>
        <c:crossesAt val="0"/>
        <c:auto val="1"/>
        <c:lblAlgn val="ctr"/>
        <c:lblOffset val="100"/>
        <c:tickMarkSkip val="1"/>
        <c:noMultiLvlLbl val="0"/>
      </c:catAx>
      <c:valAx>
        <c:axId val="187216256"/>
        <c:scaling>
          <c:orientation val="minMax"/>
          <c:max val="5"/>
          <c:min val="0"/>
        </c:scaling>
        <c:delete val="0"/>
        <c:axPos val="b"/>
        <c:numFmt formatCode="0.0_ " sourceLinked="1"/>
        <c:majorTickMark val="none"/>
        <c:minorTickMark val="none"/>
        <c:tickLblPos val="none"/>
        <c:spPr>
          <a:ln w="9525">
            <a:noFill/>
          </a:ln>
        </c:spPr>
        <c:crossAx val="187214464"/>
        <c:crosses val="autoZero"/>
        <c:crossBetween val="between"/>
        <c:majorUnit val="1"/>
        <c:minorUnit val="0.2"/>
      </c:valAx>
      <c:catAx>
        <c:axId val="187217792"/>
        <c:scaling>
          <c:orientation val="minMax"/>
        </c:scaling>
        <c:delete val="1"/>
        <c:axPos val="l"/>
        <c:majorTickMark val="out"/>
        <c:minorTickMark val="none"/>
        <c:tickLblPos val="nextTo"/>
        <c:crossAx val="187219328"/>
        <c:crosses val="autoZero"/>
        <c:auto val="1"/>
        <c:lblAlgn val="ctr"/>
        <c:lblOffset val="100"/>
        <c:noMultiLvlLbl val="0"/>
      </c:catAx>
      <c:valAx>
        <c:axId val="187219328"/>
        <c:scaling>
          <c:orientation val="minMax"/>
          <c:max val="0"/>
          <c:min val="-5"/>
        </c:scaling>
        <c:delete val="0"/>
        <c:axPos val="t"/>
        <c:numFmt formatCode="0.0_ " sourceLinked="1"/>
        <c:majorTickMark val="none"/>
        <c:minorTickMark val="none"/>
        <c:tickLblPos val="none"/>
        <c:spPr>
          <a:ln w="9525">
            <a:noFill/>
          </a:ln>
        </c:spPr>
        <c:crossAx val="187217792"/>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25857519788918E-2"/>
          <c:y val="2.2222302598027335E-2"/>
          <c:w val="0.95514511873350927"/>
          <c:h val="0.96296644591451797"/>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結果②!$W$2</c:f>
              <c:numCache>
                <c:formatCode>General</c:formatCode>
                <c:ptCount val="1"/>
                <c:pt idx="0">
                  <c:v>0</c:v>
                </c:pt>
              </c:numCache>
            </c:numRef>
          </c:val>
          <c:extLst>
            <c:ext xmlns:c16="http://schemas.microsoft.com/office/drawing/2014/chart" uri="{C3380CC4-5D6E-409C-BE32-E72D297353CC}">
              <c16:uniqueId val="{00000000-55DD-40E5-A06C-EDC3061F150E}"/>
            </c:ext>
          </c:extLst>
        </c:ser>
        <c:dLbls>
          <c:showLegendKey val="0"/>
          <c:showVal val="0"/>
          <c:showCatName val="0"/>
          <c:showSerName val="0"/>
          <c:showPercent val="0"/>
          <c:showBubbleSize val="0"/>
        </c:dLbls>
        <c:gapWidth val="150"/>
        <c:overlap val="100"/>
        <c:axId val="187249408"/>
        <c:axId val="187250944"/>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結果②!$X$2</c:f>
              <c:numCache>
                <c:formatCode>General</c:formatCode>
                <c:ptCount val="1"/>
                <c:pt idx="0">
                  <c:v>0</c:v>
                </c:pt>
              </c:numCache>
            </c:numRef>
          </c:val>
          <c:extLst>
            <c:ext xmlns:c16="http://schemas.microsoft.com/office/drawing/2014/chart" uri="{C3380CC4-5D6E-409C-BE32-E72D297353CC}">
              <c16:uniqueId val="{00000001-55DD-40E5-A06C-EDC3061F150E}"/>
            </c:ext>
          </c:extLst>
        </c:ser>
        <c:dLbls>
          <c:showLegendKey val="0"/>
          <c:showVal val="0"/>
          <c:showCatName val="0"/>
          <c:showSerName val="0"/>
          <c:showPercent val="0"/>
          <c:showBubbleSize val="0"/>
        </c:dLbls>
        <c:gapWidth val="150"/>
        <c:axId val="187260928"/>
        <c:axId val="187262464"/>
      </c:barChart>
      <c:catAx>
        <c:axId val="187249408"/>
        <c:scaling>
          <c:orientation val="minMax"/>
        </c:scaling>
        <c:delete val="0"/>
        <c:axPos val="l"/>
        <c:majorTickMark val="in"/>
        <c:minorTickMark val="none"/>
        <c:tickLblPos val="none"/>
        <c:spPr>
          <a:ln w="9525">
            <a:noFill/>
          </a:ln>
        </c:spPr>
        <c:crossAx val="187250944"/>
        <c:crossesAt val="0"/>
        <c:auto val="1"/>
        <c:lblAlgn val="ctr"/>
        <c:lblOffset val="100"/>
        <c:tickMarkSkip val="1"/>
        <c:noMultiLvlLbl val="0"/>
      </c:catAx>
      <c:valAx>
        <c:axId val="187250944"/>
        <c:scaling>
          <c:orientation val="minMax"/>
          <c:max val="5"/>
          <c:min val="0"/>
        </c:scaling>
        <c:delete val="0"/>
        <c:axPos val="b"/>
        <c:numFmt formatCode="General" sourceLinked="1"/>
        <c:majorTickMark val="none"/>
        <c:minorTickMark val="none"/>
        <c:tickLblPos val="none"/>
        <c:spPr>
          <a:ln w="9525">
            <a:noFill/>
          </a:ln>
        </c:spPr>
        <c:crossAx val="187249408"/>
        <c:crosses val="autoZero"/>
        <c:crossBetween val="between"/>
        <c:majorUnit val="1"/>
        <c:minorUnit val="0.2"/>
      </c:valAx>
      <c:catAx>
        <c:axId val="187260928"/>
        <c:scaling>
          <c:orientation val="minMax"/>
        </c:scaling>
        <c:delete val="1"/>
        <c:axPos val="l"/>
        <c:majorTickMark val="out"/>
        <c:minorTickMark val="none"/>
        <c:tickLblPos val="nextTo"/>
        <c:crossAx val="187262464"/>
        <c:crosses val="autoZero"/>
        <c:auto val="1"/>
        <c:lblAlgn val="ctr"/>
        <c:lblOffset val="100"/>
        <c:noMultiLvlLbl val="0"/>
      </c:catAx>
      <c:valAx>
        <c:axId val="187262464"/>
        <c:scaling>
          <c:orientation val="minMax"/>
          <c:max val="0"/>
          <c:min val="-5"/>
        </c:scaling>
        <c:delete val="0"/>
        <c:axPos val="t"/>
        <c:numFmt formatCode="General" sourceLinked="1"/>
        <c:majorTickMark val="none"/>
        <c:minorTickMark val="none"/>
        <c:tickLblPos val="none"/>
        <c:spPr>
          <a:ln w="9525">
            <a:noFill/>
          </a:ln>
        </c:spPr>
        <c:crossAx val="187260928"/>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10.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image" Target="../media/image11.emf"/></Relationships>
</file>

<file path=xl/drawings/_rels/drawing19.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27.xml"/><Relationship Id="rId3" Type="http://schemas.openxmlformats.org/officeDocument/2006/relationships/chart" Target="../charts/chart23.xml"/><Relationship Id="rId7" Type="http://schemas.openxmlformats.org/officeDocument/2006/relationships/image" Target="../media/image11.emf"/><Relationship Id="rId12" Type="http://schemas.openxmlformats.org/officeDocument/2006/relationships/image" Target="../media/image12.png"/><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5.png"/><Relationship Id="rId11" Type="http://schemas.openxmlformats.org/officeDocument/2006/relationships/image" Target="../media/image14.png"/><Relationship Id="rId5" Type="http://schemas.openxmlformats.org/officeDocument/2006/relationships/chart" Target="../charts/chart24.xml"/><Relationship Id="rId15" Type="http://schemas.openxmlformats.org/officeDocument/2006/relationships/chart" Target="../charts/chart29.xml"/><Relationship Id="rId10" Type="http://schemas.openxmlformats.org/officeDocument/2006/relationships/image" Target="../media/image13.png"/><Relationship Id="rId4" Type="http://schemas.openxmlformats.org/officeDocument/2006/relationships/image" Target="../media/image1.emf"/><Relationship Id="rId9" Type="http://schemas.openxmlformats.org/officeDocument/2006/relationships/chart" Target="../charts/chart26.xml"/><Relationship Id="rId14"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image" Target="../media/image18.png"/><Relationship Id="rId6" Type="http://schemas.openxmlformats.org/officeDocument/2006/relationships/image" Target="../media/image21.emf"/><Relationship Id="rId5" Type="http://schemas.openxmlformats.org/officeDocument/2006/relationships/chart" Target="../charts/chart33.xml"/><Relationship Id="rId4" Type="http://schemas.openxmlformats.org/officeDocument/2006/relationships/chart" Target="../charts/chart3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173181</xdr:colOff>
      <xdr:row>2</xdr:row>
      <xdr:rowOff>296391</xdr:rowOff>
    </xdr:to>
    <xdr:grpSp>
      <xdr:nvGrpSpPr>
        <xdr:cNvPr id="3" name="Group 10"/>
        <xdr:cNvGrpSpPr>
          <a:grpSpLocks/>
        </xdr:cNvGrpSpPr>
      </xdr:nvGrpSpPr>
      <xdr:grpSpPr bwMode="auto">
        <a:xfrm>
          <a:off x="1781175" y="0"/>
          <a:ext cx="2725881" cy="725016"/>
          <a:chOff x="46" y="3"/>
          <a:chExt cx="544" cy="132"/>
        </a:xfrm>
      </xdr:grpSpPr>
      <xdr:pic>
        <xdr:nvPicPr>
          <xdr:cNvPr id="4" name="Picture 11" descr="ロゴマークver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 y="64"/>
            <a:ext cx="375"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2" descr="新しい画像"/>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06" t="2420"/>
          <a:stretch>
            <a:fillRect/>
          </a:stretch>
        </xdr:blipFill>
        <xdr:spPr bwMode="auto">
          <a:xfrm>
            <a:off x="425" y="3"/>
            <a:ext cx="165" cy="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0</xdr:col>
      <xdr:colOff>0</xdr:colOff>
      <xdr:row>0</xdr:row>
      <xdr:rowOff>0</xdr:rowOff>
    </xdr:from>
    <xdr:to>
      <xdr:col>7</xdr:col>
      <xdr:colOff>657225</xdr:colOff>
      <xdr:row>4</xdr:row>
      <xdr:rowOff>144784</xdr:rowOff>
    </xdr:to>
    <xdr:grpSp>
      <xdr:nvGrpSpPr>
        <xdr:cNvPr id="62" name="Group 44"/>
        <xdr:cNvGrpSpPr>
          <a:grpSpLocks/>
        </xdr:cNvGrpSpPr>
      </xdr:nvGrpSpPr>
      <xdr:grpSpPr bwMode="auto">
        <a:xfrm>
          <a:off x="0" y="0"/>
          <a:ext cx="4019550" cy="935359"/>
          <a:chOff x="14" y="0"/>
          <a:chExt cx="664" cy="158"/>
        </a:xfrm>
      </xdr:grpSpPr>
      <xdr:pic>
        <xdr:nvPicPr>
          <xdr:cNvPr id="91" name="Picture 45" descr="ロゴマークver10"/>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 y="70"/>
            <a:ext cx="471" cy="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Picture 46"/>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3311" t="4167" r="5298"/>
          <a:stretch>
            <a:fillRect/>
          </a:stretch>
        </xdr:blipFill>
        <xdr:spPr bwMode="auto">
          <a:xfrm>
            <a:off x="488" y="0"/>
            <a:ext cx="190" cy="15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12</xdr:col>
      <xdr:colOff>266700</xdr:colOff>
      <xdr:row>11</xdr:row>
      <xdr:rowOff>0</xdr:rowOff>
    </xdr:from>
    <xdr:to>
      <xdr:col>15</xdr:col>
      <xdr:colOff>476250</xdr:colOff>
      <xdr:row>13</xdr:row>
      <xdr:rowOff>28575</xdr:rowOff>
    </xdr:to>
    <xdr:graphicFrame macro="">
      <xdr:nvGraphicFramePr>
        <xdr:cNvPr id="2" name="グラフ 2">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23</xdr:row>
      <xdr:rowOff>219075</xdr:rowOff>
    </xdr:from>
    <xdr:to>
      <xdr:col>15</xdr:col>
      <xdr:colOff>666750</xdr:colOff>
      <xdr:row>30</xdr:row>
      <xdr:rowOff>200025</xdr:rowOff>
    </xdr:to>
    <xdr:graphicFrame macro="">
      <xdr:nvGraphicFramePr>
        <xdr:cNvPr id="3" name="グラフ 5">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23</xdr:row>
      <xdr:rowOff>228600</xdr:rowOff>
    </xdr:from>
    <xdr:to>
      <xdr:col>6</xdr:col>
      <xdr:colOff>400050</xdr:colOff>
      <xdr:row>30</xdr:row>
      <xdr:rowOff>190500</xdr:rowOff>
    </xdr:to>
    <xdr:graphicFrame macro="">
      <xdr:nvGraphicFramePr>
        <xdr:cNvPr id="4" name="グラフ 6">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466725</xdr:colOff>
      <xdr:row>2</xdr:row>
      <xdr:rowOff>295275</xdr:rowOff>
    </xdr:from>
    <xdr:to>
      <xdr:col>16</xdr:col>
      <xdr:colOff>38100</xdr:colOff>
      <xdr:row>4</xdr:row>
      <xdr:rowOff>276225</xdr:rowOff>
    </xdr:to>
    <xdr:pic>
      <xdr:nvPicPr>
        <xdr:cNvPr id="5" name="Picture 7">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9884" t="27533" b="27725"/>
        <a:stretch>
          <a:fillRect/>
        </a:stretch>
      </xdr:blipFill>
      <xdr:spPr bwMode="auto">
        <a:xfrm>
          <a:off x="7896225" y="923925"/>
          <a:ext cx="2819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23</xdr:row>
      <xdr:rowOff>228600</xdr:rowOff>
    </xdr:from>
    <xdr:to>
      <xdr:col>10</xdr:col>
      <xdr:colOff>419100</xdr:colOff>
      <xdr:row>30</xdr:row>
      <xdr:rowOff>190500</xdr:rowOff>
    </xdr:to>
    <xdr:graphicFrame macro="">
      <xdr:nvGraphicFramePr>
        <xdr:cNvPr id="6" name="グラフ 13">
          <a:extLst>
            <a:ext uri="{FF2B5EF4-FFF2-40B4-BE49-F238E27FC236}">
              <a16:creationId xmlns:a16="http://schemas.microsoft.com/office/drawing/2014/main" id="{00000000-0008-0000-03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57150</xdr:colOff>
      <xdr:row>0</xdr:row>
      <xdr:rowOff>104775</xdr:rowOff>
    </xdr:from>
    <xdr:to>
      <xdr:col>10</xdr:col>
      <xdr:colOff>38100</xdr:colOff>
      <xdr:row>5</xdr:row>
      <xdr:rowOff>38100</xdr:rowOff>
    </xdr:to>
    <xdr:grpSp>
      <xdr:nvGrpSpPr>
        <xdr:cNvPr id="7" name="Group 15">
          <a:extLst>
            <a:ext uri="{FF2B5EF4-FFF2-40B4-BE49-F238E27FC236}">
              <a16:creationId xmlns:a16="http://schemas.microsoft.com/office/drawing/2014/main" id="{00000000-0008-0000-0300-000007000000}"/>
            </a:ext>
          </a:extLst>
        </xdr:cNvPr>
        <xdr:cNvGrpSpPr>
          <a:grpSpLocks/>
        </xdr:cNvGrpSpPr>
      </xdr:nvGrpSpPr>
      <xdr:grpSpPr bwMode="auto">
        <a:xfrm>
          <a:off x="271463" y="104775"/>
          <a:ext cx="6315075" cy="1481138"/>
          <a:chOff x="14" y="0"/>
          <a:chExt cx="664" cy="158"/>
        </a:xfrm>
      </xdr:grpSpPr>
      <xdr:pic>
        <xdr:nvPicPr>
          <xdr:cNvPr id="8" name="Picture 16" descr="ロゴマークver10">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 y="70"/>
            <a:ext cx="47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1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311" t="4167" r="5298"/>
          <a:stretch>
            <a:fillRect/>
          </a:stretch>
        </xdr:blipFill>
        <xdr:spPr bwMode="auto">
          <a:xfrm>
            <a:off x="488" y="0"/>
            <a:ext cx="190" cy="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266700</xdr:colOff>
      <xdr:row>13</xdr:row>
      <xdr:rowOff>0</xdr:rowOff>
    </xdr:from>
    <xdr:to>
      <xdr:col>15</xdr:col>
      <xdr:colOff>476250</xdr:colOff>
      <xdr:row>15</xdr:row>
      <xdr:rowOff>28575</xdr:rowOff>
    </xdr:to>
    <xdr:graphicFrame macro="">
      <xdr:nvGraphicFramePr>
        <xdr:cNvPr id="10" name="グラフ 36">
          <a:extLst>
            <a:ext uri="{FF2B5EF4-FFF2-40B4-BE49-F238E27FC236}">
              <a16:creationId xmlns:a16="http://schemas.microsoft.com/office/drawing/2014/main" id="{00000000-0008-0000-03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266700</xdr:colOff>
      <xdr:row>15</xdr:row>
      <xdr:rowOff>0</xdr:rowOff>
    </xdr:from>
    <xdr:to>
      <xdr:col>15</xdr:col>
      <xdr:colOff>476250</xdr:colOff>
      <xdr:row>17</xdr:row>
      <xdr:rowOff>28575</xdr:rowOff>
    </xdr:to>
    <xdr:graphicFrame macro="">
      <xdr:nvGraphicFramePr>
        <xdr:cNvPr id="11" name="グラフ 37">
          <a:extLst>
            <a:ext uri="{FF2B5EF4-FFF2-40B4-BE49-F238E27FC236}">
              <a16:creationId xmlns:a16="http://schemas.microsoft.com/office/drawing/2014/main" id="{00000000-0008-0000-03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66675</xdr:colOff>
      <xdr:row>17</xdr:row>
      <xdr:rowOff>57150</xdr:rowOff>
    </xdr:from>
    <xdr:to>
      <xdr:col>10</xdr:col>
      <xdr:colOff>847725</xdr:colOff>
      <xdr:row>19</xdr:row>
      <xdr:rowOff>266700</xdr:rowOff>
    </xdr:to>
    <xdr:pic>
      <xdr:nvPicPr>
        <xdr:cNvPr id="12" name="Picture 40" descr="新しい画像 (6)">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36058"/>
        <a:stretch>
          <a:fillRect/>
        </a:stretch>
      </xdr:blipFill>
      <xdr:spPr bwMode="auto">
        <a:xfrm>
          <a:off x="6629400" y="7743825"/>
          <a:ext cx="781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723900</xdr:colOff>
      <xdr:row>17</xdr:row>
      <xdr:rowOff>38100</xdr:rowOff>
    </xdr:from>
    <xdr:to>
      <xdr:col>15</xdr:col>
      <xdr:colOff>152400</xdr:colOff>
      <xdr:row>19</xdr:row>
      <xdr:rowOff>257175</xdr:rowOff>
    </xdr:to>
    <xdr:pic>
      <xdr:nvPicPr>
        <xdr:cNvPr id="13" name="Picture 41" descr="新しい画像 (4)">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40866"/>
        <a:stretch>
          <a:fillRect/>
        </a:stretch>
      </xdr:blipFill>
      <xdr:spPr bwMode="auto">
        <a:xfrm>
          <a:off x="9334500" y="772477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438150</xdr:colOff>
      <xdr:row>17</xdr:row>
      <xdr:rowOff>38100</xdr:rowOff>
    </xdr:from>
    <xdr:to>
      <xdr:col>8</xdr:col>
      <xdr:colOff>495300</xdr:colOff>
      <xdr:row>19</xdr:row>
      <xdr:rowOff>247650</xdr:rowOff>
    </xdr:to>
    <xdr:pic>
      <xdr:nvPicPr>
        <xdr:cNvPr id="14" name="Picture 42" descr="新しい画像 (5)">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34616"/>
        <a:stretch>
          <a:fillRect/>
        </a:stretch>
      </xdr:blipFill>
      <xdr:spPr bwMode="auto">
        <a:xfrm>
          <a:off x="4219575" y="7724775"/>
          <a:ext cx="800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180975</xdr:colOff>
      <xdr:row>14</xdr:row>
      <xdr:rowOff>438150</xdr:rowOff>
    </xdr:from>
    <xdr:to>
      <xdr:col>10</xdr:col>
      <xdr:colOff>142875</xdr:colOff>
      <xdr:row>17</xdr:row>
      <xdr:rowOff>266700</xdr:rowOff>
    </xdr:to>
    <xdr:graphicFrame macro="">
      <xdr:nvGraphicFramePr>
        <xdr:cNvPr id="15" name="グラフ 5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180975</xdr:colOff>
      <xdr:row>12</xdr:row>
      <xdr:rowOff>438150</xdr:rowOff>
    </xdr:from>
    <xdr:to>
      <xdr:col>10</xdr:col>
      <xdr:colOff>142875</xdr:colOff>
      <xdr:row>15</xdr:row>
      <xdr:rowOff>266700</xdr:rowOff>
    </xdr:to>
    <xdr:graphicFrame macro="">
      <xdr:nvGraphicFramePr>
        <xdr:cNvPr id="16" name="グラフ 56">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180975</xdr:colOff>
      <xdr:row>9</xdr:row>
      <xdr:rowOff>266700</xdr:rowOff>
    </xdr:from>
    <xdr:to>
      <xdr:col>10</xdr:col>
      <xdr:colOff>142875</xdr:colOff>
      <xdr:row>13</xdr:row>
      <xdr:rowOff>266700</xdr:rowOff>
    </xdr:to>
    <xdr:graphicFrame macro="">
      <xdr:nvGraphicFramePr>
        <xdr:cNvPr id="17" name="グラフ 57">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171450</xdr:colOff>
      <xdr:row>17</xdr:row>
      <xdr:rowOff>171450</xdr:rowOff>
    </xdr:from>
    <xdr:to>
      <xdr:col>6</xdr:col>
      <xdr:colOff>57150</xdr:colOff>
      <xdr:row>20</xdr:row>
      <xdr:rowOff>28575</xdr:rowOff>
    </xdr:to>
    <xdr:sp macro="" textlink="">
      <xdr:nvSpPr>
        <xdr:cNvPr id="18" name="Text Box 59">
          <a:extLst>
            <a:ext uri="{FF2B5EF4-FFF2-40B4-BE49-F238E27FC236}">
              <a16:creationId xmlns:a16="http://schemas.microsoft.com/office/drawing/2014/main" id="{00000000-0008-0000-0300-000012000000}"/>
            </a:ext>
          </a:extLst>
        </xdr:cNvPr>
        <xdr:cNvSpPr txBox="1">
          <a:spLocks noChangeArrowheads="1"/>
        </xdr:cNvSpPr>
      </xdr:nvSpPr>
      <xdr:spPr bwMode="auto">
        <a:xfrm>
          <a:off x="390525" y="7858125"/>
          <a:ext cx="2705100"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対応するCASBEEのスコアと主な指標</a:t>
          </a:r>
        </a:p>
        <a:p>
          <a:pPr algn="l" rtl="0">
            <a:lnSpc>
              <a:spcPts val="1200"/>
            </a:lnSpc>
            <a:defRPr sz="1000"/>
          </a:pPr>
          <a:r>
            <a:rPr lang="ja-JP" altLang="en-US" sz="1000" b="0" i="0" u="none" strike="noStrike" baseline="0">
              <a:solidFill>
                <a:srgbClr val="000000"/>
              </a:solidFill>
              <a:latin typeface="ＭＳ Ｐゴシック"/>
              <a:ea typeface="ＭＳ Ｐゴシック"/>
            </a:rPr>
            <a:t>　　を元に、独自に設定された条件で評価</a:t>
          </a:r>
        </a:p>
        <a:p>
          <a:pPr algn="l" rtl="0">
            <a:lnSpc>
              <a:spcPts val="1100"/>
            </a:lnSpc>
            <a:defRPr sz="1000"/>
          </a:pPr>
          <a:r>
            <a:rPr lang="ja-JP" altLang="en-US" sz="1000" b="0" i="0" u="none" strike="noStrike" baseline="0">
              <a:solidFill>
                <a:srgbClr val="000000"/>
              </a:solidFill>
              <a:latin typeface="ＭＳ Ｐゴシック"/>
              <a:ea typeface="ＭＳ Ｐゴシック"/>
            </a:rPr>
            <a:t>　　をします。（左記は評価結果の凡例）</a:t>
          </a:r>
          <a:endParaRPr lang="ja-JP" altLang="en-US"/>
        </a:p>
      </xdr:txBody>
    </xdr:sp>
    <xdr:clientData/>
  </xdr:twoCellAnchor>
</xdr:wsDr>
</file>

<file path=xl/drawings/drawing20.xml><?xml version="1.0" encoding="utf-8"?>
<c:userShapes xmlns:c="http://schemas.openxmlformats.org/drawingml/2006/chart">
  <cdr:relSizeAnchor xmlns:cdr="http://schemas.openxmlformats.org/drawingml/2006/chartDrawing">
    <cdr:from>
      <cdr:x>0.21206</cdr:x>
      <cdr:y>0.7486</cdr:y>
    </cdr:from>
    <cdr:to>
      <cdr:x>0.4367</cdr:x>
      <cdr:y>0.82634</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662531" y="1605362"/>
          <a:ext cx="701795"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健康な暮らし</a:t>
          </a:r>
          <a:endParaRPr lang="ja-JP" altLang="en-US"/>
        </a:p>
      </cdr:txBody>
    </cdr:sp>
  </cdr:relSizeAnchor>
  <cdr:relSizeAnchor xmlns:cdr="http://schemas.openxmlformats.org/drawingml/2006/chartDrawing">
    <cdr:from>
      <cdr:x>0.64099</cdr:x>
      <cdr:y>0.7486</cdr:y>
    </cdr:from>
    <cdr:to>
      <cdr:x>0.86563</cdr:x>
      <cdr:y>0.82634</cdr:y>
    </cdr:to>
    <cdr:sp macro="" textlink="">
      <cdr:nvSpPr>
        <cdr:cNvPr id="17410" name="Text Box 1026"/>
        <cdr:cNvSpPr txBox="1">
          <a:spLocks xmlns:a="http://schemas.openxmlformats.org/drawingml/2006/main" noChangeArrowheads="1"/>
        </cdr:cNvSpPr>
      </cdr:nvSpPr>
      <cdr:spPr bwMode="auto">
        <a:xfrm xmlns:a="http://schemas.openxmlformats.org/drawingml/2006/main">
          <a:off x="2002594" y="1605362"/>
          <a:ext cx="701795"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安全な暮らし</a:t>
          </a:r>
          <a:endParaRPr lang="ja-JP" altLang="en-US"/>
        </a:p>
      </cdr:txBody>
    </cdr:sp>
  </cdr:relSizeAnchor>
</c:userShapes>
</file>

<file path=xl/drawings/drawing21.xml><?xml version="1.0" encoding="utf-8"?>
<c:userShapes xmlns:c="http://schemas.openxmlformats.org/drawingml/2006/chart">
  <cdr:relSizeAnchor xmlns:cdr="http://schemas.openxmlformats.org/drawingml/2006/chartDrawing">
    <cdr:from>
      <cdr:x>0.15314</cdr:x>
      <cdr:y>0.76355</cdr:y>
    </cdr:from>
    <cdr:to>
      <cdr:x>0.47793</cdr:x>
      <cdr:y>0.84199</cdr:y>
    </cdr:to>
    <cdr:sp macro="" textlink="">
      <cdr:nvSpPr>
        <cdr:cNvPr id="18433" name="Text Box 1"/>
        <cdr:cNvSpPr txBox="1">
          <a:spLocks xmlns:a="http://schemas.openxmlformats.org/drawingml/2006/main" noChangeArrowheads="1"/>
        </cdr:cNvSpPr>
      </cdr:nvSpPr>
      <cdr:spPr bwMode="auto">
        <a:xfrm xmlns:a="http://schemas.openxmlformats.org/drawingml/2006/main">
          <a:off x="475952" y="1622877"/>
          <a:ext cx="1009380"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省エネ型まちづくり</a:t>
          </a:r>
          <a:endParaRPr lang="ja-JP" altLang="en-US"/>
        </a:p>
      </cdr:txBody>
    </cdr:sp>
  </cdr:relSizeAnchor>
  <cdr:relSizeAnchor xmlns:cdr="http://schemas.openxmlformats.org/drawingml/2006/chartDrawing">
    <cdr:from>
      <cdr:x>0.59434</cdr:x>
      <cdr:y>0.76044</cdr:y>
    </cdr:from>
    <cdr:to>
      <cdr:x>0.88513</cdr:x>
      <cdr:y>0.83888</cdr:y>
    </cdr:to>
    <cdr:sp macro="" textlink="">
      <cdr:nvSpPr>
        <cdr:cNvPr id="18434" name="Text Box 2"/>
        <cdr:cNvSpPr txBox="1">
          <a:spLocks xmlns:a="http://schemas.openxmlformats.org/drawingml/2006/main" noChangeArrowheads="1"/>
        </cdr:cNvSpPr>
      </cdr:nvSpPr>
      <cdr:spPr bwMode="auto">
        <a:xfrm xmlns:a="http://schemas.openxmlformats.org/drawingml/2006/main">
          <a:off x="1847147" y="1616267"/>
          <a:ext cx="903709"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循環型まちづくり</a:t>
          </a:r>
          <a:endParaRPr lang="ja-JP" altLang="en-US"/>
        </a:p>
      </cdr:txBody>
    </cdr:sp>
  </cdr:relSizeAnchor>
</c:userShapes>
</file>

<file path=xl/drawings/drawing22.xml><?xml version="1.0" encoding="utf-8"?>
<c:userShapes xmlns:c="http://schemas.openxmlformats.org/drawingml/2006/chart">
  <cdr:relSizeAnchor xmlns:cdr="http://schemas.openxmlformats.org/drawingml/2006/chartDrawing">
    <cdr:from>
      <cdr:x>0.19751</cdr:x>
      <cdr:y>0.74682</cdr:y>
    </cdr:from>
    <cdr:to>
      <cdr:x>0.46603</cdr:x>
      <cdr:y>0.82526</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618661" y="1587318"/>
          <a:ext cx="841128"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緑豊なまちなみ</a:t>
          </a:r>
          <a:endParaRPr lang="ja-JP" altLang="en-US"/>
        </a:p>
      </cdr:txBody>
    </cdr:sp>
  </cdr:relSizeAnchor>
  <cdr:relSizeAnchor xmlns:cdr="http://schemas.openxmlformats.org/drawingml/2006/chartDrawing">
    <cdr:from>
      <cdr:x>0.63497</cdr:x>
      <cdr:y>0.74706</cdr:y>
    </cdr:from>
    <cdr:to>
      <cdr:x>0.87262</cdr:x>
      <cdr:y>0.8255</cdr:y>
    </cdr:to>
    <cdr:sp macro="" textlink="">
      <cdr:nvSpPr>
        <cdr:cNvPr id="22530" name="Text Box 1026"/>
        <cdr:cNvSpPr txBox="1">
          <a:spLocks xmlns:a="http://schemas.openxmlformats.org/drawingml/2006/main" noChangeArrowheads="1"/>
        </cdr:cNvSpPr>
      </cdr:nvSpPr>
      <cdr:spPr bwMode="auto">
        <a:xfrm xmlns:a="http://schemas.openxmlformats.org/drawingml/2006/main">
          <a:off x="1988943" y="1587828"/>
          <a:ext cx="744436"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魅力ある景観</a:t>
          </a:r>
          <a:endParaRPr lang="ja-JP" altLang="en-US"/>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0</xdr:row>
      <xdr:rowOff>30239</xdr:rowOff>
    </xdr:from>
    <xdr:to>
      <xdr:col>15</xdr:col>
      <xdr:colOff>0</xdr:colOff>
      <xdr:row>52</xdr:row>
      <xdr:rowOff>161693</xdr:rowOff>
    </xdr:to>
    <xdr:grpSp>
      <xdr:nvGrpSpPr>
        <xdr:cNvPr id="2" name="グループ化 12"/>
        <xdr:cNvGrpSpPr>
          <a:grpSpLocks/>
        </xdr:cNvGrpSpPr>
      </xdr:nvGrpSpPr>
      <xdr:grpSpPr bwMode="auto">
        <a:xfrm>
          <a:off x="0" y="30239"/>
          <a:ext cx="12501563" cy="8799204"/>
          <a:chOff x="-367846" y="451138"/>
          <a:chExt cx="13443075" cy="8835089"/>
        </a:xfrm>
      </xdr:grpSpPr>
      <xdr:grpSp>
        <xdr:nvGrpSpPr>
          <xdr:cNvPr id="3" name="Group 1076"/>
          <xdr:cNvGrpSpPr>
            <a:grpSpLocks/>
          </xdr:cNvGrpSpPr>
        </xdr:nvGrpSpPr>
        <xdr:grpSpPr bwMode="auto">
          <a:xfrm>
            <a:off x="-367846" y="451138"/>
            <a:ext cx="13443075" cy="8546554"/>
            <a:chOff x="10" y="33"/>
            <a:chExt cx="1349" cy="956"/>
          </a:xfrm>
        </xdr:grpSpPr>
        <xdr:pic>
          <xdr:nvPicPr>
            <xdr:cNvPr id="5" name="Picture 1055" descr="新しい画像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 y="33"/>
              <a:ext cx="1312" cy="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aphicFrame macro="">
          <xdr:nvGraphicFramePr>
            <xdr:cNvPr id="6" name="グラフ 1026"/>
            <xdr:cNvGraphicFramePr>
              <a:graphicFrameLocks/>
            </xdr:cNvGraphicFramePr>
          </xdr:nvGraphicFramePr>
          <xdr:xfrm>
            <a:off x="757" y="193"/>
            <a:ext cx="518" cy="27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グラフ 1027"/>
            <xdr:cNvGraphicFramePr>
              <a:graphicFrameLocks/>
            </xdr:cNvGraphicFramePr>
          </xdr:nvGraphicFramePr>
          <xdr:xfrm>
            <a:off x="757" y="356"/>
            <a:ext cx="518" cy="27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 name="グラフ 1028"/>
            <xdr:cNvGraphicFramePr>
              <a:graphicFrameLocks/>
            </xdr:cNvGraphicFramePr>
          </xdr:nvGraphicFramePr>
          <xdr:xfrm>
            <a:off x="757" y="518"/>
            <a:ext cx="518" cy="276"/>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9" name="Text Box 1030"/>
            <xdr:cNvSpPr txBox="1">
              <a:spLocks noChangeArrowheads="1" noTextEdit="1"/>
            </xdr:cNvSpPr>
          </xdr:nvSpPr>
          <xdr:spPr bwMode="auto">
            <a:xfrm>
              <a:off x="10" y="163"/>
              <a:ext cx="2" cy="19"/>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wrap="none" lIns="18288" tIns="0" rIns="0" bIns="0" anchor="t" upright="1">
              <a:spAutoFit/>
            </a:bodyPr>
            <a:lstStyle/>
            <a:p>
              <a:pPr algn="r" rtl="0">
                <a:defRPr sz="1000"/>
              </a:pPr>
              <a:fld id="{F53B3B03-A207-433E-8CB7-BDBF9615EF08}" type="TxLink">
                <a:rPr lang="ja-JP" altLang="en-US"/>
                <a:pPr algn="r" rtl="0">
                  <a:defRPr sz="1000"/>
                </a:pPr>
                <a:t></a:t>
              </a:fld>
              <a:endParaRPr lang="ja-JP" altLang="en-US"/>
            </a:p>
          </xdr:txBody>
        </xdr:sp>
        <xdr:graphicFrame macro="">
          <xdr:nvGraphicFramePr>
            <xdr:cNvPr id="10" name="グラフ 1029"/>
            <xdr:cNvGraphicFramePr>
              <a:graphicFrameLocks/>
            </xdr:cNvGraphicFramePr>
          </xdr:nvGraphicFramePr>
          <xdr:xfrm>
            <a:off x="511" y="701"/>
            <a:ext cx="758" cy="27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1" name="Picture 107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3" y="250"/>
              <a:ext cx="343" cy="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テキスト ボックス 3"/>
          <xdr:cNvSpPr txBox="1"/>
        </xdr:nvSpPr>
        <xdr:spPr>
          <a:xfrm>
            <a:off x="7698901" y="8402082"/>
            <a:ext cx="1133498" cy="88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2016</a:t>
            </a:r>
          </a:p>
          <a:p>
            <a:r>
              <a:rPr kumimoji="1" lang="en-US" altLang="ja-JP" sz="2000"/>
              <a:t>v3.0</a:t>
            </a:r>
            <a:endParaRPr kumimoji="1" lang="ja-JP" altLang="en-US" sz="2000"/>
          </a:p>
        </xdr:txBody>
      </xdr:sp>
    </xdr:grpSp>
    <xdr:clientData/>
  </xdr:twoCellAnchor>
  <xdr:twoCellAnchor>
    <xdr:from>
      <xdr:col>2</xdr:col>
      <xdr:colOff>822614</xdr:colOff>
      <xdr:row>6</xdr:row>
      <xdr:rowOff>51956</xdr:rowOff>
    </xdr:from>
    <xdr:to>
      <xdr:col>7</xdr:col>
      <xdr:colOff>623455</xdr:colOff>
      <xdr:row>11</xdr:row>
      <xdr:rowOff>121229</xdr:rowOff>
    </xdr:to>
    <xdr:sp macro="" textlink="">
      <xdr:nvSpPr>
        <xdr:cNvPr id="12" name="テキスト ボックス 11"/>
        <xdr:cNvSpPr txBox="1"/>
      </xdr:nvSpPr>
      <xdr:spPr>
        <a:xfrm>
          <a:off x="2499014" y="1080656"/>
          <a:ext cx="3991841" cy="92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t>R-</a:t>
          </a:r>
          <a:endParaRPr kumimoji="1" lang="ja-JP" altLang="en-US" sz="36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38100</xdr:colOff>
      <xdr:row>18</xdr:row>
      <xdr:rowOff>152400</xdr:rowOff>
    </xdr:from>
    <xdr:to>
      <xdr:col>2</xdr:col>
      <xdr:colOff>638175</xdr:colOff>
      <xdr:row>20</xdr:row>
      <xdr:rowOff>47625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933450" y="6867525"/>
          <a:ext cx="600075" cy="247650"/>
        </a:xfrm>
        <a:prstGeom prst="rect">
          <a:avLst/>
        </a:prstGeom>
        <a:solidFill>
          <a:srgbClr xmlns:mc="http://schemas.openxmlformats.org/markup-compatibility/2006" xmlns:a14="http://schemas.microsoft.com/office/drawing/2010/main" val="CCFFFF" mc:Ignorable="a14" a14:legacySpreadsheetColorIndex="41"/>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90207</xdr:colOff>
      <xdr:row>26</xdr:row>
      <xdr:rowOff>19050</xdr:rowOff>
    </xdr:from>
    <xdr:to>
      <xdr:col>5</xdr:col>
      <xdr:colOff>423582</xdr:colOff>
      <xdr:row>27</xdr:row>
      <xdr:rowOff>28575</xdr:rowOff>
    </xdr:to>
    <xdr:pic>
      <xdr:nvPicPr>
        <xdr:cNvPr id="2" name="Picture 1" descr="新しい画像 (20)">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5707" y="7181850"/>
          <a:ext cx="333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914400</xdr:colOff>
      <xdr:row>22</xdr:row>
      <xdr:rowOff>0</xdr:rowOff>
    </xdr:from>
    <xdr:to>
      <xdr:col>5</xdr:col>
      <xdr:colOff>261657</xdr:colOff>
      <xdr:row>23</xdr:row>
      <xdr:rowOff>19050</xdr:rowOff>
    </xdr:to>
    <xdr:pic>
      <xdr:nvPicPr>
        <xdr:cNvPr id="3" name="Picture 2" descr="新しい画像 (20)">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5648325"/>
          <a:ext cx="328332"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50\&#9632;&#26989;&#21209;&#9632;\Documents\E0736\My%20Documents\&#30011;&#20687;&#12398;&#20999;&#12426;&#26367;&#12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E0736/My%20Documents/&#30011;&#20687;&#12398;&#20999;&#12426;&#26367;&#12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Documents\E0736\My%20Documents\&#30011;&#20687;&#12398;&#20999;&#12426;&#26367;&#12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bec.or.jp/tem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 val="計算用リスト"/>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H11" t="str">
            <v>にっこり1</v>
          </cell>
        </row>
      </sheetData>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H11" t="str">
            <v>にっこり1</v>
          </cell>
        </row>
      </sheetData>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H11" t="str">
            <v>にっこり1</v>
          </cell>
        </row>
      </sheetData>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5.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263" t="s">
        <v>2253</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264"/>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264"/>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2157</v>
      </c>
      <c r="K5" s="3266" t="str">
        <f>メイン!C6</f>
        <v>CASBEE-建築(新築)2016年版</v>
      </c>
      <c r="L5" s="3267"/>
      <c r="M5" s="160" t="s">
        <v>2254</v>
      </c>
      <c r="N5" s="3266" t="str">
        <f>メイン!C5</f>
        <v>CASBEE-BD_NC_2016(v3.0)</v>
      </c>
      <c r="O5" s="3268"/>
      <c r="P5" s="144"/>
      <c r="Q5" s="3265"/>
      <c r="R5" s="176" t="s">
        <v>2257</v>
      </c>
      <c r="T5" s="153"/>
      <c r="U5" s="176" t="s">
        <v>2258</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2255</v>
      </c>
      <c r="C7" s="170"/>
      <c r="D7" s="171"/>
      <c r="E7" s="170"/>
      <c r="F7" s="170"/>
      <c r="G7" s="170"/>
      <c r="H7" s="174" t="s">
        <v>3463</v>
      </c>
      <c r="I7" s="173"/>
      <c r="J7" s="173"/>
      <c r="K7" s="173"/>
      <c r="L7" s="174" t="s">
        <v>3470</v>
      </c>
      <c r="M7" s="170"/>
      <c r="N7" s="170"/>
      <c r="O7" s="175"/>
      <c r="P7" s="144"/>
      <c r="Q7" s="144"/>
      <c r="R7" s="188" t="s">
        <v>2422</v>
      </c>
      <c r="S7" s="188">
        <f>スコア!AC8</f>
        <v>2.9832000000000001</v>
      </c>
      <c r="T7" s="153"/>
      <c r="U7" s="189"/>
      <c r="V7" s="189" t="s">
        <v>2261</v>
      </c>
      <c r="W7" s="190" t="s">
        <v>2423</v>
      </c>
      <c r="X7" s="190">
        <v>4</v>
      </c>
      <c r="Y7" s="190">
        <v>2</v>
      </c>
      <c r="Z7" s="191" t="s">
        <v>2262</v>
      </c>
      <c r="AA7" s="192" t="s">
        <v>2425</v>
      </c>
      <c r="AB7" s="153"/>
    </row>
    <row r="8" spans="1:28" s="154" customFormat="1" ht="19.5" customHeight="1">
      <c r="A8" s="144"/>
      <c r="B8" s="177" t="s">
        <v>2259</v>
      </c>
      <c r="C8" s="178"/>
      <c r="D8" s="179" t="str">
        <f>メイン!C11</f>
        <v>○○ビル</v>
      </c>
      <c r="E8" s="178"/>
      <c r="F8" s="178"/>
      <c r="G8" s="180"/>
      <c r="H8" s="181" t="s">
        <v>3464</v>
      </c>
      <c r="J8" s="183" t="str">
        <f>メイン!C26</f>
        <v>○○サービス</v>
      </c>
      <c r="K8" s="184"/>
      <c r="L8" s="185"/>
      <c r="M8" s="186"/>
      <c r="N8" s="186"/>
      <c r="O8" s="187"/>
      <c r="P8" s="144"/>
      <c r="Q8" s="144"/>
      <c r="R8" s="188" t="s">
        <v>2426</v>
      </c>
      <c r="S8" s="188" t="e">
        <f>スコア!AC121</f>
        <v>#VALUE!</v>
      </c>
      <c r="T8" s="153"/>
      <c r="U8" s="203" t="s">
        <v>2427</v>
      </c>
      <c r="V8" s="189" t="s">
        <v>752</v>
      </c>
      <c r="W8" s="190">
        <v>5</v>
      </c>
      <c r="X8" s="190">
        <v>4</v>
      </c>
      <c r="Y8" s="190">
        <v>2</v>
      </c>
      <c r="Z8" s="204">
        <f>V46</f>
        <v>2.9</v>
      </c>
      <c r="AA8" s="192">
        <v>3</v>
      </c>
      <c r="AB8" s="153"/>
    </row>
    <row r="9" spans="1:28" s="154" customFormat="1" ht="19.5" customHeight="1">
      <c r="A9" s="144"/>
      <c r="B9" s="193" t="s">
        <v>2263</v>
      </c>
      <c r="C9" s="194"/>
      <c r="D9" s="195" t="str">
        <f>メイン!C12</f>
        <v>○○県○○市</v>
      </c>
      <c r="E9" s="194"/>
      <c r="F9" s="196"/>
      <c r="H9" s="181" t="s">
        <v>3465</v>
      </c>
      <c r="J9" s="2897" t="str">
        <f>メイン!C27</f>
        <v>○○</v>
      </c>
      <c r="K9" s="196"/>
      <c r="L9" s="201"/>
      <c r="O9" s="202"/>
      <c r="P9" s="144"/>
      <c r="Q9" s="144"/>
      <c r="R9" s="191" t="s">
        <v>753</v>
      </c>
      <c r="S9" s="191">
        <f>25*(S7-1)</f>
        <v>49.58</v>
      </c>
      <c r="U9" s="203" t="s">
        <v>754</v>
      </c>
      <c r="V9" s="210" t="s">
        <v>2271</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3466</v>
      </c>
      <c r="J10" s="226">
        <f>メイン!C28</f>
        <v>41831</v>
      </c>
      <c r="K10" s="196"/>
      <c r="L10" s="207"/>
      <c r="M10" s="208"/>
      <c r="N10" s="208"/>
      <c r="O10" s="209"/>
      <c r="P10" s="144"/>
      <c r="Q10" s="144"/>
      <c r="R10" s="191" t="s">
        <v>2272</v>
      </c>
      <c r="S10" s="191" t="e">
        <f>25*(5-S8)</f>
        <v>#VALUE!</v>
      </c>
      <c r="U10" s="203" t="s">
        <v>1840</v>
      </c>
      <c r="V10" s="217" t="s">
        <v>2273</v>
      </c>
      <c r="W10" s="190">
        <v>5</v>
      </c>
      <c r="X10" s="190">
        <v>4</v>
      </c>
      <c r="Y10" s="190">
        <v>2</v>
      </c>
      <c r="Z10" s="204" t="e">
        <f>Y57</f>
        <v>#VALUE!</v>
      </c>
      <c r="AA10" s="192">
        <v>3</v>
      </c>
    </row>
    <row r="11" spans="1:28" s="154" customFormat="1" ht="18.75" customHeight="1">
      <c r="A11" s="144"/>
      <c r="B11" s="211" t="s">
        <v>3053</v>
      </c>
      <c r="C11" s="212"/>
      <c r="D11" s="213" t="str">
        <f>IF(メイン!F12="","",メイン!F12)</f>
        <v/>
      </c>
      <c r="E11" s="212"/>
      <c r="F11" s="214"/>
      <c r="G11" s="215"/>
      <c r="H11" s="181" t="s">
        <v>3467</v>
      </c>
      <c r="J11" s="206" t="str">
        <f>メイン!C29</f>
        <v>XXX</v>
      </c>
      <c r="K11" s="238" t="s">
        <v>3469</v>
      </c>
      <c r="L11" s="207"/>
      <c r="M11" s="208"/>
      <c r="N11" s="208"/>
      <c r="O11" s="209"/>
      <c r="P11" s="144"/>
      <c r="Q11" s="144"/>
      <c r="R11" s="191" t="s">
        <v>2277</v>
      </c>
      <c r="S11" s="191" t="e">
        <f>S9/S10</f>
        <v>#VALUE!</v>
      </c>
      <c r="U11" s="203" t="s">
        <v>2392</v>
      </c>
      <c r="V11" s="217" t="s">
        <v>2278</v>
      </c>
      <c r="W11" s="190">
        <v>5</v>
      </c>
      <c r="X11" s="190">
        <v>4</v>
      </c>
      <c r="Y11" s="190">
        <v>2</v>
      </c>
      <c r="Z11" s="204">
        <f>V57</f>
        <v>3</v>
      </c>
      <c r="AA11" s="192">
        <v>3</v>
      </c>
    </row>
    <row r="12" spans="1:28" s="154" customFormat="1" ht="18.75" customHeight="1">
      <c r="A12" s="144"/>
      <c r="B12" s="218" t="s">
        <v>2274</v>
      </c>
      <c r="C12" s="219"/>
      <c r="D12" s="220" t="str">
        <f>メイン!C21</f>
        <v>事務所,</v>
      </c>
      <c r="E12" s="219"/>
      <c r="F12" s="219"/>
      <c r="G12" s="221"/>
      <c r="H12" s="181" t="s">
        <v>3468</v>
      </c>
      <c r="J12" s="2897" t="str">
        <f>メイン!C30</f>
        <v>地上○○F～○○F</v>
      </c>
      <c r="K12" s="196"/>
      <c r="L12" s="207"/>
      <c r="M12" s="224" t="s">
        <v>2276</v>
      </c>
      <c r="N12" s="208"/>
      <c r="O12" s="209"/>
      <c r="P12" s="144"/>
      <c r="Q12" s="144"/>
      <c r="R12" s="203" t="s">
        <v>755</v>
      </c>
      <c r="S12" s="229" t="e">
        <f>ROUNDDOWN(S11,1)</f>
        <v>#VALUE!</v>
      </c>
      <c r="U12" s="203" t="s">
        <v>756</v>
      </c>
      <c r="V12" s="217" t="s">
        <v>757</v>
      </c>
      <c r="W12" s="190">
        <v>5</v>
      </c>
      <c r="X12" s="190">
        <v>4</v>
      </c>
      <c r="Y12" s="190">
        <v>2</v>
      </c>
      <c r="Z12" s="204">
        <f>S57</f>
        <v>3</v>
      </c>
      <c r="AA12" s="192">
        <v>3</v>
      </c>
    </row>
    <row r="13" spans="1:28" s="154" customFormat="1" ht="16.5" customHeight="1">
      <c r="A13" s="144"/>
      <c r="B13" s="2744" t="s">
        <v>612</v>
      </c>
      <c r="C13" s="2745"/>
      <c r="D13" s="3269" t="str">
        <f>メイン!C15</f>
        <v>201●年●月</v>
      </c>
      <c r="E13" s="3270"/>
      <c r="F13" s="2746">
        <f>メイン!F15</f>
        <v>0</v>
      </c>
      <c r="G13" s="2747"/>
      <c r="H13" s="181" t="s">
        <v>2269</v>
      </c>
      <c r="I13" s="182"/>
      <c r="J13" s="206" t="str">
        <f>メイン!C32</f>
        <v>XX</v>
      </c>
      <c r="K13" s="196" t="s">
        <v>2270</v>
      </c>
      <c r="L13" s="207"/>
      <c r="M13" s="228" t="s">
        <v>2938</v>
      </c>
      <c r="N13" s="208"/>
      <c r="O13" s="209"/>
      <c r="P13" s="144"/>
      <c r="Q13" s="144"/>
      <c r="R13" s="191" t="s">
        <v>619</v>
      </c>
      <c r="S13" s="235" t="e">
        <f>IF(AND($S$9&gt;=50,$S$11&gt;=3),1,IF(S12&lt;0.5,1,IF(S12&lt;1,2,IF(S12&lt;1.5,3,IF(S12&lt;3,4,4))))/5)</f>
        <v>#VALUE!</v>
      </c>
      <c r="U13" s="203" t="s">
        <v>759</v>
      </c>
      <c r="V13" s="210" t="s">
        <v>616</v>
      </c>
      <c r="W13" s="190">
        <v>5</v>
      </c>
      <c r="X13" s="190">
        <v>4</v>
      </c>
      <c r="Y13" s="190">
        <v>2</v>
      </c>
      <c r="Z13" s="204">
        <f>IF(S46=0,1,S46)</f>
        <v>2.9</v>
      </c>
      <c r="AA13" s="192">
        <v>3</v>
      </c>
    </row>
    <row r="14" spans="1:28" s="154" customFormat="1" ht="14.25" hidden="1">
      <c r="A14" s="144"/>
      <c r="B14" s="2677" t="s">
        <v>3335</v>
      </c>
      <c r="C14" s="184"/>
      <c r="D14" s="3271" t="str">
        <f>メイン!C16</f>
        <v>2016年６月～８月</v>
      </c>
      <c r="E14" s="3272"/>
      <c r="F14" s="2687"/>
      <c r="G14" s="2687"/>
      <c r="H14" s="197" t="s">
        <v>2275</v>
      </c>
      <c r="I14" s="222"/>
      <c r="J14" s="199" t="str">
        <f>IF(メイン!E39=0,"",メイン!E39&amp;"評価")</f>
        <v/>
      </c>
      <c r="K14" s="223"/>
      <c r="L14" s="207"/>
      <c r="M14" s="228"/>
      <c r="N14" s="208"/>
      <c r="O14" s="209"/>
      <c r="P14" s="144"/>
      <c r="Q14" s="144"/>
      <c r="R14" s="191" t="s">
        <v>622</v>
      </c>
      <c r="S14" s="242" t="e">
        <f>1-S13</f>
        <v>#VALUE!</v>
      </c>
    </row>
    <row r="15" spans="1:28" s="154" customFormat="1" ht="14.25">
      <c r="A15" s="144"/>
      <c r="B15" s="2748" t="s">
        <v>614</v>
      </c>
      <c r="C15" s="2749"/>
      <c r="D15" s="2750"/>
      <c r="E15" s="2751" t="str">
        <f>メイン!C17</f>
        <v>XXX</v>
      </c>
      <c r="F15" s="2746" t="s">
        <v>758</v>
      </c>
      <c r="G15" s="2747"/>
      <c r="H15" s="197" t="str">
        <f>IF(メイン!I3=3,メイン!J33,メイン!I33)</f>
        <v>年間使用時間</v>
      </c>
      <c r="I15" s="198"/>
      <c r="J15" s="216" t="str">
        <f>IF(メイン!I3=3,メイン!C34,メイン!C33)</f>
        <v>XXX</v>
      </c>
      <c r="K15" s="2752" t="str">
        <f>IF(メイン!I3=3,メイン!D34,メイン!D33)</f>
        <v>時間/年（想定値）</v>
      </c>
      <c r="L15" s="207"/>
      <c r="M15" s="228" t="s">
        <v>2939</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t="str">
        <f>IF(メイン!C39=0,"",メイン!C39)</f>
        <v>201●年●月●日</v>
      </c>
      <c r="K16" s="227"/>
      <c r="L16" s="207"/>
      <c r="M16" s="208"/>
      <c r="N16" s="208"/>
      <c r="O16" s="209"/>
      <c r="P16" s="144"/>
      <c r="Q16" s="144"/>
      <c r="V16" s="236"/>
      <c r="Z16" s="236"/>
    </row>
    <row r="17" spans="1:28" s="154" customFormat="1" ht="14.25">
      <c r="A17" s="144"/>
      <c r="B17" s="181" t="s">
        <v>620</v>
      </c>
      <c r="C17" s="230"/>
      <c r="D17" s="231"/>
      <c r="E17" s="237">
        <f>メイン!J66</f>
        <v>30000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2260</v>
      </c>
      <c r="C18" s="182"/>
      <c r="D18" s="183" t="str">
        <f>メイン!C22</f>
        <v>地上○○F</v>
      </c>
      <c r="E18" s="2687"/>
      <c r="F18" s="2687"/>
      <c r="G18" s="2687"/>
      <c r="H18" s="181" t="s">
        <v>618</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2264</v>
      </c>
      <c r="C19" s="198"/>
      <c r="D19" s="199">
        <f>メイン!C23</f>
        <v>0</v>
      </c>
      <c r="E19" s="2687"/>
      <c r="F19" s="2687"/>
      <c r="G19" s="2687"/>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t="e">
        <f>S10</f>
        <v>#VALUE!</v>
      </c>
      <c r="U24" s="204">
        <v>0</v>
      </c>
      <c r="V24" s="236"/>
      <c r="W24" s="189" t="s">
        <v>639</v>
      </c>
      <c r="X24" s="189"/>
      <c r="Y24" s="236"/>
      <c r="Z24" s="189" t="s">
        <v>640</v>
      </c>
      <c r="AA24" s="189"/>
      <c r="AB24" s="236"/>
    </row>
    <row r="25" spans="1:28" s="154" customFormat="1" ht="15" customHeight="1">
      <c r="A25" s="144"/>
      <c r="B25" s="279"/>
      <c r="C25" s="280" t="e">
        <f>S12</f>
        <v>#VALUE!</v>
      </c>
      <c r="I25" s="284"/>
      <c r="J25" s="285"/>
      <c r="K25" s="276"/>
      <c r="L25" s="276"/>
      <c r="M25" s="276"/>
      <c r="N25" s="276"/>
      <c r="O25" s="277"/>
      <c r="R25" s="191" t="s">
        <v>641</v>
      </c>
      <c r="S25" s="204"/>
      <c r="T25" s="278">
        <f>S9</f>
        <v>49.58</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#VALUE!</v>
      </c>
      <c r="T26" s="286" t="e">
        <f>T24</f>
        <v>#VALUE!</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49.58</v>
      </c>
      <c r="U27" s="294">
        <f>T25</f>
        <v>49.58</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t="e">
        <f>IF(T36&lt;=0.3,1,IF(T36&lt;=0.6,0.8,IF(T36&lt;=0.8,0.6,IF(T36&lt;=1,0.4,0.2))))</f>
        <v>#VALUE!</v>
      </c>
      <c r="T36" s="308" t="e">
        <f>IF(U36=W36,X42,X43)</f>
        <v>#VALUE!</v>
      </c>
      <c r="U36" s="313" t="str">
        <f>メイン!C43</f>
        <v>標準計算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t="e">
        <f>1-S36</f>
        <v>#VALUE!</v>
      </c>
      <c r="T37" s="308"/>
      <c r="U37" s="313" t="s">
        <v>2113</v>
      </c>
      <c r="V37" s="308" t="str">
        <f>IF(U36=W37,V36,"")</f>
        <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8"/>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730</v>
      </c>
      <c r="C41" s="337"/>
      <c r="D41" s="337"/>
      <c r="E41" s="338"/>
      <c r="F41" s="337"/>
      <c r="G41" s="337"/>
      <c r="H41" s="337"/>
      <c r="I41" s="337"/>
      <c r="J41" s="337"/>
      <c r="K41" s="339"/>
      <c r="L41" s="340"/>
      <c r="M41" s="341" t="s">
        <v>731</v>
      </c>
      <c r="N41" s="342">
        <f>スコア!T8</f>
        <v>2.9</v>
      </c>
      <c r="O41" s="343"/>
      <c r="P41" s="144"/>
      <c r="Q41" s="144"/>
      <c r="R41" s="188" t="s">
        <v>732</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2.9</v>
      </c>
      <c r="I43" s="350"/>
      <c r="K43" s="345">
        <f>V46</f>
        <v>2.9</v>
      </c>
      <c r="M43" s="351"/>
      <c r="N43" s="350"/>
      <c r="O43" s="352">
        <f>Y46</f>
        <v>3</v>
      </c>
      <c r="P43" s="144"/>
      <c r="Q43" s="144"/>
      <c r="R43" s="188" t="s">
        <v>734</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2262</v>
      </c>
      <c r="T45" s="191" t="s">
        <v>735</v>
      </c>
      <c r="U45" s="191"/>
      <c r="V45" s="191" t="s">
        <v>2262</v>
      </c>
      <c r="W45" s="191" t="s">
        <v>735</v>
      </c>
      <c r="X45" s="191"/>
      <c r="Y45" s="191" t="s">
        <v>2262</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2.9</v>
      </c>
      <c r="T46" s="191">
        <f>スコア!AC9</f>
        <v>2.988</v>
      </c>
      <c r="U46" s="189" t="s">
        <v>1440</v>
      </c>
      <c r="V46" s="357">
        <f>スコア!T62</f>
        <v>2.9</v>
      </c>
      <c r="W46" s="191">
        <f>スコア!AC62</f>
        <v>2.96</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2.9</v>
      </c>
      <c r="T49" s="191" t="str">
        <f>IF(S49=0,"N.A.","")</f>
        <v/>
      </c>
      <c r="U49" s="189" t="s">
        <v>944</v>
      </c>
      <c r="V49" s="357">
        <f>スコア!T63</f>
        <v>2.9</v>
      </c>
      <c r="W49" s="191" t="str">
        <f>IF(V49=0,"N.A.","")</f>
        <v/>
      </c>
      <c r="X49" s="2899" t="s">
        <v>3471</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3</v>
      </c>
      <c r="W51" s="191" t="str">
        <f>IF(V51=0,"N.A.","")</f>
        <v/>
      </c>
      <c r="X51" s="360"/>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#VALUE!</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3</v>
      </c>
      <c r="T57" s="191">
        <f>スコア!AC122</f>
        <v>3</v>
      </c>
      <c r="U57" s="189" t="s">
        <v>90</v>
      </c>
      <c r="V57" s="381">
        <f>スコア!T145</f>
        <v>3</v>
      </c>
      <c r="W57" s="191">
        <f>スコア!AC145</f>
        <v>3.0466666666666669</v>
      </c>
      <c r="X57" s="189" t="s">
        <v>2389</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2390</v>
      </c>
      <c r="S60" s="384">
        <f>スコア!T123</f>
        <v>0</v>
      </c>
      <c r="T60" s="191" t="str">
        <f>IF(S60=0,"N.A.","")</f>
        <v>N.A.</v>
      </c>
      <c r="U60" s="385" t="s">
        <v>2391</v>
      </c>
      <c r="V60" s="357">
        <f>スコア!T146</f>
        <v>3</v>
      </c>
      <c r="W60" s="191" t="str">
        <f>IF(V60=0,"N.A.","")</f>
        <v/>
      </c>
      <c r="X60" s="189"/>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2627</v>
      </c>
      <c r="S61" s="384">
        <f>スコア!T124</f>
        <v>3</v>
      </c>
      <c r="T61" s="191" t="str">
        <f>IF(S61=0,"N.A.","")</f>
        <v/>
      </c>
      <c r="U61" s="385" t="s">
        <v>2628</v>
      </c>
      <c r="V61" s="357">
        <f>スコア!T151</f>
        <v>3</v>
      </c>
      <c r="W61" s="191" t="str">
        <f>IF(V61=0,"N.A.","")</f>
        <v/>
      </c>
      <c r="X61" s="189" t="s">
        <v>2629</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2630</v>
      </c>
      <c r="S62" s="384">
        <f>スコア!T129</f>
        <v>3</v>
      </c>
      <c r="T62" s="191" t="str">
        <f>IF(S62=0,"N.A.","")</f>
        <v/>
      </c>
      <c r="U62" s="393" t="s">
        <v>2631</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2633</v>
      </c>
      <c r="S63" s="384">
        <f>スコア!T138</f>
        <v>3</v>
      </c>
      <c r="T63" s="191" t="str">
        <f>IF(S63=0,"N.A.","")</f>
        <v/>
      </c>
      <c r="U63" s="236"/>
      <c r="V63" s="397"/>
      <c r="W63" s="397"/>
      <c r="X63" s="397"/>
      <c r="Y63" s="397"/>
      <c r="Z63" s="397"/>
      <c r="AA63" s="236"/>
      <c r="AB63" s="236"/>
    </row>
    <row r="64" spans="1:28" s="154" customFormat="1" ht="15.75">
      <c r="A64" s="144"/>
      <c r="B64" s="264" t="s">
        <v>2634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2635</v>
      </c>
      <c r="C65" s="405"/>
      <c r="D65" s="406"/>
      <c r="E65" s="405"/>
      <c r="F65" s="405"/>
      <c r="G65" s="405"/>
      <c r="H65" s="405"/>
      <c r="I65" s="405"/>
      <c r="J65" s="405"/>
      <c r="K65" s="407"/>
      <c r="L65" s="408" t="s">
        <v>2636</v>
      </c>
      <c r="M65" s="409"/>
      <c r="N65" s="409"/>
      <c r="O65" s="410"/>
      <c r="P65" s="144"/>
      <c r="Q65" s="247"/>
      <c r="R65" s="411"/>
      <c r="S65" s="236"/>
      <c r="T65" s="236"/>
      <c r="U65" s="236"/>
      <c r="V65" s="397"/>
      <c r="W65" s="397"/>
      <c r="X65" s="397"/>
      <c r="Y65" s="397"/>
      <c r="Z65" s="397"/>
      <c r="AA65" s="236"/>
      <c r="AB65" s="236"/>
    </row>
    <row r="66" spans="1:28" s="154" customFormat="1" ht="52.5" customHeight="1">
      <c r="A66" s="144"/>
      <c r="B66" s="3273" t="str">
        <f>IF(配慮!C4=0,"",配慮!C4)</f>
        <v>　注）　設計における総合的なコンセプトを簡潔に記載してください。
　</v>
      </c>
      <c r="C66" s="3274"/>
      <c r="D66" s="3274"/>
      <c r="E66" s="3274"/>
      <c r="F66" s="3274"/>
      <c r="G66" s="3274"/>
      <c r="H66" s="3274"/>
      <c r="I66" s="3274"/>
      <c r="J66" s="3274"/>
      <c r="K66" s="3275"/>
      <c r="L66" s="3276"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277"/>
      <c r="N66" s="3277"/>
      <c r="O66" s="3278"/>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279" t="str">
        <f>IF(配慮!C5=0,"",配慮!C5)</f>
        <v>　注）　「Q1　室内環境」に対する配慮事項を簡潔に記載してください。</v>
      </c>
      <c r="C68" s="3277"/>
      <c r="D68" s="3277"/>
      <c r="E68" s="3277"/>
      <c r="F68" s="3277"/>
      <c r="G68" s="3280"/>
      <c r="H68" s="3281" t="str">
        <f>IF(配慮!C6=0,"",配慮!C6)</f>
        <v>　注）　「Q2　サービス性能」に対する配慮事項を簡潔に記載してください。</v>
      </c>
      <c r="I68" s="3277"/>
      <c r="J68" s="3277"/>
      <c r="K68" s="3280"/>
      <c r="L68" s="3281" t="str">
        <f>IF(配慮!C7=0,"",配慮!C7)</f>
        <v>　注）　「Q3　室外環境（敷地内）」に対する配慮事項を簡潔に記載してください。</v>
      </c>
      <c r="M68" s="3277"/>
      <c r="N68" s="3277"/>
      <c r="O68" s="3278"/>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258" t="str">
        <f>IF(配慮!C8=0,"",配慮!C8)</f>
        <v>　注）　「LR1　エネルギー」に対する配慮事項を簡潔に記載してください。</v>
      </c>
      <c r="C70" s="3259"/>
      <c r="D70" s="3259"/>
      <c r="E70" s="3259"/>
      <c r="F70" s="3259"/>
      <c r="G70" s="3260"/>
      <c r="H70" s="3261" t="str">
        <f>IF(配慮!C9=0,"",配慮!C9)</f>
        <v>　注）　「LR2　資源・マテリアル」に対する配慮事項を簡潔に記載してください。</v>
      </c>
      <c r="I70" s="3259"/>
      <c r="J70" s="3259"/>
      <c r="K70" s="3260"/>
      <c r="L70" s="3261" t="str">
        <f>IF(配慮!C10=0,"",配慮!C10)</f>
        <v>　注）　「LR3　敷地外環境」に対する配慮事項を簡潔に記載してください。</v>
      </c>
      <c r="M70" s="3259"/>
      <c r="N70" s="3259"/>
      <c r="O70" s="3262"/>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2637</v>
      </c>
      <c r="C72" s="428"/>
      <c r="D72" s="429"/>
      <c r="E72" s="428"/>
      <c r="F72" s="428"/>
      <c r="G72" s="428"/>
      <c r="H72" s="428"/>
      <c r="I72" s="428"/>
      <c r="J72" s="430"/>
      <c r="K72" s="431"/>
      <c r="L72" s="431"/>
      <c r="M72" s="431"/>
      <c r="N72" s="432"/>
      <c r="O72" s="433" t="s">
        <v>2638</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2763</v>
      </c>
      <c r="D90" s="527" t="s">
        <v>2571</v>
      </c>
      <c r="E90" s="528"/>
      <c r="F90" s="529"/>
      <c r="G90" s="529"/>
      <c r="H90" s="529"/>
      <c r="I90" s="530"/>
      <c r="J90" s="530"/>
      <c r="K90" s="531"/>
      <c r="L90" s="531"/>
      <c r="M90" s="186"/>
      <c r="N90" s="186"/>
      <c r="O90" s="532"/>
      <c r="P90" s="247"/>
      <c r="Q90" s="247"/>
    </row>
    <row r="91" spans="1:47" ht="14.25" hidden="1">
      <c r="B91" s="534"/>
      <c r="C91" s="518" t="s">
        <v>2572</v>
      </c>
      <c r="D91" s="535" t="s">
        <v>2573</v>
      </c>
      <c r="E91" s="536"/>
      <c r="G91" s="537"/>
      <c r="O91" s="532"/>
    </row>
    <row r="92" spans="1:47" ht="14.25" hidden="1">
      <c r="B92" s="534"/>
      <c r="C92" s="518"/>
      <c r="D92" s="535" t="s">
        <v>2574</v>
      </c>
      <c r="E92" s="536"/>
      <c r="G92" s="537"/>
      <c r="O92" s="532"/>
    </row>
    <row r="93" spans="1:47" ht="14.25" hidden="1">
      <c r="B93" s="538"/>
      <c r="C93" s="539" t="s">
        <v>2575</v>
      </c>
      <c r="D93" s="540" t="s">
        <v>1923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Normal="100" workbookViewId="0">
      <selection activeCell="C11" sqref="C11:E11"/>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2958</v>
      </c>
      <c r="C4" s="6"/>
      <c r="D4" s="6"/>
      <c r="E4" s="6"/>
      <c r="F4" s="7"/>
      <c r="G4" s="3"/>
      <c r="J4" t="s">
        <v>3289</v>
      </c>
      <c r="K4" t="s">
        <v>3197</v>
      </c>
    </row>
    <row r="5" spans="1:11">
      <c r="A5" s="8"/>
      <c r="B5" s="9" t="s">
        <v>481</v>
      </c>
      <c r="C5" s="10" t="s">
        <v>3560</v>
      </c>
      <c r="D5" s="10"/>
      <c r="E5" s="3"/>
      <c r="F5" s="3"/>
      <c r="G5" s="3"/>
      <c r="J5" t="s">
        <v>3290</v>
      </c>
      <c r="K5" s="2687" t="s">
        <v>3451</v>
      </c>
    </row>
    <row r="6" spans="1:11">
      <c r="A6" s="8"/>
      <c r="B6" s="12" t="s">
        <v>2157</v>
      </c>
      <c r="C6" s="13" t="str">
        <f>K3</f>
        <v>CASBEE-建築(新築)2016年版</v>
      </c>
      <c r="D6" s="13"/>
      <c r="E6" s="3"/>
      <c r="F6" s="3"/>
      <c r="G6" s="3"/>
      <c r="J6" t="s">
        <v>3288</v>
      </c>
      <c r="K6" s="2687" t="s">
        <v>3450</v>
      </c>
    </row>
    <row r="7" spans="1:11" ht="6.75" customHeight="1" thickBot="1">
      <c r="A7" s="8"/>
      <c r="B7" s="11"/>
      <c r="C7" s="11"/>
      <c r="D7" s="11"/>
      <c r="E7" s="11"/>
      <c r="F7" s="11"/>
      <c r="G7" s="3"/>
      <c r="J7" t="s">
        <v>3448</v>
      </c>
      <c r="K7" s="2687" t="s">
        <v>3452</v>
      </c>
    </row>
    <row r="8" spans="1:11" ht="15" customHeight="1">
      <c r="A8" s="8"/>
      <c r="B8" s="14" t="s">
        <v>2104</v>
      </c>
      <c r="C8" s="15"/>
      <c r="D8" s="15"/>
      <c r="E8" s="15"/>
      <c r="F8" s="16"/>
      <c r="G8" s="3"/>
    </row>
    <row r="9" spans="1:11" ht="15" customHeight="1">
      <c r="A9" s="8"/>
      <c r="B9" s="17" t="s">
        <v>2106</v>
      </c>
      <c r="C9" s="18"/>
      <c r="D9" s="18"/>
      <c r="E9" s="18"/>
      <c r="F9" s="19"/>
      <c r="G9" s="3"/>
    </row>
    <row r="10" spans="1:11" ht="15" hidden="1" customHeight="1">
      <c r="A10" s="8"/>
      <c r="B10" s="20"/>
      <c r="C10" s="21"/>
      <c r="D10" s="21"/>
      <c r="E10" s="21"/>
      <c r="F10" s="22"/>
      <c r="G10" s="3"/>
    </row>
    <row r="11" spans="1:11" ht="15" customHeight="1">
      <c r="A11" s="23"/>
      <c r="B11" s="24" t="s">
        <v>3435</v>
      </c>
      <c r="C11" s="3282" t="s">
        <v>678</v>
      </c>
      <c r="D11" s="3283"/>
      <c r="E11" s="3284"/>
      <c r="F11" s="27"/>
      <c r="G11" s="3"/>
      <c r="I11" t="s">
        <v>71</v>
      </c>
      <c r="J11" t="s">
        <v>1420</v>
      </c>
      <c r="K11">
        <v>1</v>
      </c>
    </row>
    <row r="12" spans="1:11" ht="15" customHeight="1">
      <c r="A12" s="23"/>
      <c r="B12" s="28" t="s">
        <v>3436</v>
      </c>
      <c r="C12" s="3285" t="s">
        <v>2109</v>
      </c>
      <c r="D12" s="3286"/>
      <c r="E12" s="3287"/>
      <c r="F12" s="31"/>
      <c r="G12" s="3"/>
      <c r="I12" t="s">
        <v>72</v>
      </c>
      <c r="J12" t="s">
        <v>1320</v>
      </c>
      <c r="K12">
        <v>2</v>
      </c>
    </row>
    <row r="13" spans="1:11" ht="15" hidden="1" customHeight="1">
      <c r="A13" s="23"/>
      <c r="B13" s="28"/>
      <c r="C13" s="29"/>
      <c r="D13" s="2144"/>
      <c r="E13" s="30"/>
      <c r="F13" s="31"/>
      <c r="G13" s="3"/>
      <c r="I13" t="s">
        <v>73</v>
      </c>
      <c r="J13" t="s">
        <v>2103</v>
      </c>
      <c r="K13" s="2231">
        <v>3</v>
      </c>
    </row>
    <row r="14" spans="1:11" ht="15" customHeight="1">
      <c r="A14" s="23"/>
      <c r="B14" s="28" t="s">
        <v>3438</v>
      </c>
      <c r="C14" s="3285" t="s">
        <v>311</v>
      </c>
      <c r="D14" s="3286"/>
      <c r="E14" s="3287"/>
      <c r="F14" s="27"/>
      <c r="G14" s="3"/>
      <c r="I14" t="s">
        <v>74</v>
      </c>
      <c r="J14" t="s">
        <v>2105</v>
      </c>
      <c r="K14" s="2231">
        <v>4</v>
      </c>
    </row>
    <row r="15" spans="1:11" ht="15" customHeight="1">
      <c r="A15" s="23"/>
      <c r="B15" s="28" t="s">
        <v>3437</v>
      </c>
      <c r="C15" s="32" t="s">
        <v>3496</v>
      </c>
      <c r="D15" s="26"/>
      <c r="E15" s="26"/>
      <c r="F15" s="31"/>
      <c r="G15" s="3"/>
      <c r="I15" t="s">
        <v>75</v>
      </c>
      <c r="J15" t="s">
        <v>2107</v>
      </c>
      <c r="K15" s="2231">
        <v>5</v>
      </c>
    </row>
    <row r="16" spans="1:11" ht="15" hidden="1" customHeight="1">
      <c r="A16" s="23"/>
      <c r="B16" s="2742" t="s">
        <v>3333</v>
      </c>
      <c r="C16" s="32" t="s">
        <v>3336</v>
      </c>
      <c r="D16" s="26"/>
      <c r="E16" s="26"/>
      <c r="F16" s="27"/>
      <c r="G16" s="3"/>
      <c r="I16" t="s">
        <v>76</v>
      </c>
      <c r="J16" t="s">
        <v>2108</v>
      </c>
      <c r="K16" s="2231">
        <v>6</v>
      </c>
    </row>
    <row r="17" spans="1:12" ht="15" customHeight="1">
      <c r="A17" s="23"/>
      <c r="B17" s="28" t="s">
        <v>3439</v>
      </c>
      <c r="C17" s="33" t="s">
        <v>679</v>
      </c>
      <c r="D17" s="34" t="s">
        <v>680</v>
      </c>
      <c r="E17" s="34"/>
      <c r="F17" s="27"/>
      <c r="G17" s="3"/>
      <c r="I17" t="s">
        <v>77</v>
      </c>
      <c r="K17" s="2231">
        <v>7</v>
      </c>
    </row>
    <row r="18" spans="1:12" ht="15" customHeight="1">
      <c r="A18" s="23"/>
      <c r="B18" s="28" t="s">
        <v>3440</v>
      </c>
      <c r="C18" s="33" t="s">
        <v>681</v>
      </c>
      <c r="D18" s="34" t="s">
        <v>682</v>
      </c>
      <c r="E18" s="34"/>
      <c r="F18" s="27"/>
      <c r="G18" s="3"/>
      <c r="I18" t="s">
        <v>78</v>
      </c>
      <c r="K18" s="2231">
        <v>8</v>
      </c>
    </row>
    <row r="19" spans="1:12" ht="15" customHeight="1">
      <c r="A19" s="23"/>
      <c r="B19" s="28" t="s">
        <v>3442</v>
      </c>
      <c r="C19" s="35">
        <f>SUM(C63:C64)</f>
        <v>30000</v>
      </c>
      <c r="D19" s="34" t="s">
        <v>680</v>
      </c>
      <c r="E19" s="34"/>
      <c r="F19" s="27"/>
      <c r="G19" s="3"/>
      <c r="K19" s="1" t="e">
        <f>VLOOKUP(F12,I11:K18,3)</f>
        <v>#N/A</v>
      </c>
    </row>
    <row r="20" spans="1:12" ht="15" customHeight="1">
      <c r="A20" s="23"/>
      <c r="B20" s="28" t="s">
        <v>3441</v>
      </c>
      <c r="C20" s="3285" t="s">
        <v>683</v>
      </c>
      <c r="D20" s="3286"/>
      <c r="E20" s="3287"/>
      <c r="F20" s="27"/>
      <c r="G20" s="3"/>
    </row>
    <row r="21" spans="1:12" ht="15" customHeight="1">
      <c r="A21" s="23"/>
      <c r="B21" s="36"/>
      <c r="C21" s="3288" t="str">
        <f>O67</f>
        <v>事務所,</v>
      </c>
      <c r="D21" s="3289"/>
      <c r="E21" s="3290"/>
      <c r="F21" s="27"/>
      <c r="G21" s="3"/>
    </row>
    <row r="22" spans="1:12" ht="15" customHeight="1">
      <c r="A22" s="23"/>
      <c r="B22" s="28" t="s">
        <v>3444</v>
      </c>
      <c r="C22" s="25" t="s">
        <v>314</v>
      </c>
      <c r="D22" s="26"/>
      <c r="E22" s="26"/>
      <c r="F22" s="27"/>
      <c r="G22" s="3"/>
    </row>
    <row r="23" spans="1:12" ht="15" customHeight="1">
      <c r="A23" s="23"/>
      <c r="B23" s="28" t="s">
        <v>3443</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4.25" hidden="1" thickBot="1">
      <c r="A25" s="23"/>
      <c r="B25" s="41" t="s">
        <v>3453</v>
      </c>
      <c r="C25" s="42"/>
      <c r="D25" s="42"/>
      <c r="E25" s="42"/>
      <c r="F25" s="43"/>
      <c r="G25" s="3"/>
    </row>
    <row r="26" spans="1:12" hidden="1">
      <c r="A26" s="23"/>
      <c r="B26" s="2896" t="s">
        <v>3458</v>
      </c>
      <c r="C26" s="25" t="s">
        <v>3454</v>
      </c>
      <c r="D26" s="26"/>
      <c r="E26" s="26"/>
      <c r="F26" s="2148"/>
      <c r="G26" s="3"/>
    </row>
    <row r="27" spans="1:12" hidden="1">
      <c r="A27" s="23"/>
      <c r="B27" s="2896" t="s">
        <v>3459</v>
      </c>
      <c r="C27" s="3285" t="s">
        <v>3455</v>
      </c>
      <c r="D27" s="3286"/>
      <c r="E27" s="3287"/>
      <c r="F27" s="27"/>
      <c r="G27" s="3"/>
    </row>
    <row r="28" spans="1:12" hidden="1">
      <c r="A28" s="23"/>
      <c r="B28" s="2896" t="s">
        <v>3460</v>
      </c>
      <c r="C28" s="44">
        <v>41831</v>
      </c>
      <c r="D28" s="26"/>
      <c r="E28" s="26"/>
      <c r="F28" s="27"/>
      <c r="G28" s="3"/>
    </row>
    <row r="29" spans="1:12" s="2687" customFormat="1" hidden="1">
      <c r="A29" s="23"/>
      <c r="B29" s="2896" t="s">
        <v>3461</v>
      </c>
      <c r="C29" s="33" t="s">
        <v>3456</v>
      </c>
      <c r="D29" s="2878" t="s">
        <v>2410</v>
      </c>
      <c r="E29" s="26"/>
      <c r="F29" s="27"/>
      <c r="G29" s="3"/>
    </row>
    <row r="30" spans="1:12" hidden="1">
      <c r="A30" s="23"/>
      <c r="B30" s="2896" t="s">
        <v>3462</v>
      </c>
      <c r="C30" s="25" t="s">
        <v>3457</v>
      </c>
      <c r="D30" s="26"/>
      <c r="E30" s="26"/>
      <c r="F30" s="27"/>
      <c r="G30" s="3"/>
    </row>
    <row r="31" spans="1:12" hidden="1">
      <c r="A31" s="23"/>
      <c r="B31" s="28"/>
      <c r="C31" s="38"/>
      <c r="D31" s="38"/>
      <c r="E31" s="38"/>
      <c r="F31" s="39"/>
      <c r="G31" s="3"/>
    </row>
    <row r="32" spans="1:12">
      <c r="A32" s="23"/>
      <c r="B32" s="28" t="s">
        <v>3445</v>
      </c>
      <c r="C32" s="37" t="s">
        <v>684</v>
      </c>
      <c r="D32" s="34" t="s">
        <v>775</v>
      </c>
      <c r="E32" s="34"/>
      <c r="F32" s="27"/>
      <c r="G32" s="3"/>
    </row>
    <row r="33" spans="1:18" ht="14.25" thickBot="1">
      <c r="A33" s="23"/>
      <c r="B33" s="28" t="s">
        <v>3446</v>
      </c>
      <c r="C33" s="37" t="s">
        <v>685</v>
      </c>
      <c r="D33" s="34" t="s">
        <v>776</v>
      </c>
      <c r="E33" s="34"/>
      <c r="F33" s="27"/>
      <c r="G33" s="3"/>
      <c r="I33" t="s">
        <v>3493</v>
      </c>
      <c r="J33" t="s">
        <v>3494</v>
      </c>
    </row>
    <row r="34" spans="1:18" ht="14.25" hidden="1" thickBot="1">
      <c r="A34" s="23"/>
      <c r="B34" s="2742" t="s">
        <v>3447</v>
      </c>
      <c r="C34" s="37" t="s">
        <v>679</v>
      </c>
      <c r="D34" s="2743" t="s">
        <v>3334</v>
      </c>
      <c r="E34" s="34"/>
      <c r="F34" s="27"/>
      <c r="G34" s="3"/>
    </row>
    <row r="35" spans="1:18" ht="14.25" hidden="1" thickBot="1">
      <c r="A35" s="23"/>
      <c r="B35" s="28"/>
      <c r="C35" s="38"/>
      <c r="D35" s="38"/>
      <c r="E35" s="38"/>
      <c r="F35" s="39"/>
      <c r="G35" s="3"/>
    </row>
    <row r="36" spans="1:18" ht="14.25" hidden="1" thickBot="1">
      <c r="A36" s="23"/>
      <c r="B36"/>
      <c r="C36"/>
      <c r="D36"/>
      <c r="E36"/>
      <c r="F36"/>
      <c r="G36" s="3"/>
      <c r="I36" s="1" t="s">
        <v>778</v>
      </c>
      <c r="J36" s="1">
        <v>0</v>
      </c>
    </row>
    <row r="37" spans="1:18" ht="14.25" hidden="1" thickBot="1">
      <c r="A37" s="23"/>
      <c r="B37"/>
      <c r="C37"/>
      <c r="D37"/>
      <c r="E37"/>
      <c r="F37"/>
      <c r="G37" s="3"/>
      <c r="I37" s="1" t="s">
        <v>782</v>
      </c>
      <c r="J37" s="1">
        <v>1</v>
      </c>
    </row>
    <row r="38" spans="1:18" ht="14.25" thickBot="1">
      <c r="A38" s="23"/>
      <c r="B38" s="41" t="s">
        <v>777</v>
      </c>
      <c r="C38" s="42"/>
      <c r="D38" s="42"/>
      <c r="E38" s="42"/>
      <c r="F38" s="43"/>
      <c r="G38" s="3"/>
      <c r="I38" s="1" t="s">
        <v>781</v>
      </c>
      <c r="J38" s="1">
        <v>2</v>
      </c>
      <c r="L38" s="1" t="s">
        <v>779</v>
      </c>
      <c r="M38" s="1" t="s">
        <v>780</v>
      </c>
    </row>
    <row r="39" spans="1:18">
      <c r="A39" s="40"/>
      <c r="B39" s="59" t="s">
        <v>3430</v>
      </c>
      <c r="C39" s="44" t="s">
        <v>3497</v>
      </c>
      <c r="D39" s="26"/>
      <c r="E39" s="2149"/>
      <c r="F39" s="2148"/>
      <c r="G39" s="3"/>
      <c r="I39" s="1" t="s">
        <v>455</v>
      </c>
      <c r="J39" s="1">
        <v>2</v>
      </c>
      <c r="L39" s="1" t="s">
        <v>782</v>
      </c>
      <c r="M39" s="1" t="s">
        <v>452</v>
      </c>
    </row>
    <row r="40" spans="1:18">
      <c r="A40" s="40"/>
      <c r="B40" s="59" t="s">
        <v>3431</v>
      </c>
      <c r="C40" s="25" t="s">
        <v>3427</v>
      </c>
      <c r="D40" s="26"/>
      <c r="E40" s="26"/>
      <c r="F40" s="27"/>
      <c r="G40" s="3"/>
      <c r="I40" s="1" t="s">
        <v>3309</v>
      </c>
      <c r="J40" s="1">
        <v>3</v>
      </c>
      <c r="L40" s="1" t="s">
        <v>781</v>
      </c>
      <c r="M40" s="1" t="s">
        <v>454</v>
      </c>
    </row>
    <row r="41" spans="1:18">
      <c r="A41" s="45"/>
      <c r="B41" s="59" t="s">
        <v>3432</v>
      </c>
      <c r="C41" s="44" t="s">
        <v>3497</v>
      </c>
      <c r="D41" s="26"/>
      <c r="E41" s="26"/>
      <c r="F41" s="27"/>
      <c r="G41" s="3"/>
      <c r="I41" s="1148" t="s">
        <v>3449</v>
      </c>
      <c r="J41" s="1148">
        <v>4</v>
      </c>
      <c r="L41" s="1" t="s">
        <v>455</v>
      </c>
      <c r="M41" s="1"/>
    </row>
    <row r="42" spans="1:18">
      <c r="A42" s="45"/>
      <c r="B42" s="59" t="s">
        <v>3433</v>
      </c>
      <c r="C42" s="25" t="s">
        <v>453</v>
      </c>
      <c r="D42" s="26"/>
      <c r="E42" s="26"/>
      <c r="F42" s="27"/>
      <c r="G42" s="3"/>
    </row>
    <row r="43" spans="1:18" ht="14.25" thickBot="1">
      <c r="A43" s="45"/>
      <c r="B43" s="2882" t="s">
        <v>3434</v>
      </c>
      <c r="C43" s="46" t="s">
        <v>456</v>
      </c>
      <c r="D43" s="47" t="str">
        <f>IF(C43=I43,L43,L44)</f>
        <v>→LCCO2算定条件シート（標準計算）を入力</v>
      </c>
      <c r="E43" s="26"/>
      <c r="F43" s="48"/>
      <c r="G43" s="3"/>
      <c r="I43" t="s">
        <v>456</v>
      </c>
      <c r="L43" t="s">
        <v>457</v>
      </c>
    </row>
    <row r="44" spans="1:18" ht="14.2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30000</v>
      </c>
      <c r="D47" s="34" t="s">
        <v>2358</v>
      </c>
      <c r="E47" s="58">
        <v>30000</v>
      </c>
      <c r="F47" s="2148" t="s">
        <v>2345</v>
      </c>
      <c r="G47" s="3"/>
      <c r="I47" s="1" t="s">
        <v>462</v>
      </c>
      <c r="J47" s="1">
        <f>C47</f>
        <v>30000</v>
      </c>
      <c r="K47" s="1">
        <f>J47/$J$66</f>
        <v>1</v>
      </c>
      <c r="L47" s="1"/>
      <c r="N47" s="1">
        <f>IF(J47=0,0,RANK(J47,$J$47:$J$64))</f>
        <v>1</v>
      </c>
      <c r="O47" s="1" t="str">
        <f>IF(AND(0&lt;N47,N47&lt;4),I47&amp;",","")</f>
        <v>事務所,</v>
      </c>
      <c r="P47" s="2134" t="s">
        <v>1794</v>
      </c>
      <c r="Q47" s="2135" t="s">
        <v>462</v>
      </c>
      <c r="R47" s="2150">
        <f>E47</f>
        <v>30000</v>
      </c>
    </row>
    <row r="48" spans="1:18" ht="15" customHeight="1">
      <c r="A48" s="49"/>
      <c r="B48" s="59"/>
      <c r="C48" s="34"/>
      <c r="D48" s="2147" t="s">
        <v>2350</v>
      </c>
      <c r="E48" s="58"/>
      <c r="F48" s="2148" t="s">
        <v>2354</v>
      </c>
      <c r="G48" s="3"/>
      <c r="I48" s="1"/>
      <c r="J48" s="1"/>
      <c r="K48" s="1"/>
      <c r="L48" s="1"/>
      <c r="N48" s="1">
        <f t="shared" ref="N48:N64" si="0">IF(J48=0,0,RANK(J48,$J$47:$J$64))</f>
        <v>0</v>
      </c>
      <c r="O48" s="1" t="str">
        <f t="shared" ref="O48:O64" si="1">IF(AND(0&lt;N48,N48&lt;4),I48&amp;",","")</f>
        <v/>
      </c>
      <c r="P48" s="2136"/>
      <c r="Q48" s="2135" t="s">
        <v>2306</v>
      </c>
      <c r="R48" s="2150">
        <f t="shared" ref="R48:R59" si="2">E48</f>
        <v>0</v>
      </c>
    </row>
    <row r="49" spans="1:18" ht="15" customHeight="1">
      <c r="A49" s="49"/>
      <c r="B49" s="59" t="s">
        <v>463</v>
      </c>
      <c r="C49" s="35">
        <f>SUM(E49:E53)</f>
        <v>0</v>
      </c>
      <c r="D49" s="34" t="s">
        <v>2357</v>
      </c>
      <c r="E49" s="58"/>
      <c r="F49" s="2148" t="s">
        <v>2354</v>
      </c>
      <c r="G49" s="3"/>
      <c r="I49" s="1" t="s">
        <v>464</v>
      </c>
      <c r="J49" s="2426">
        <f>C49</f>
        <v>0</v>
      </c>
      <c r="K49" s="1">
        <f>J49/$J$66</f>
        <v>0</v>
      </c>
      <c r="L49" s="1"/>
      <c r="N49" s="1">
        <f t="shared" si="0"/>
        <v>0</v>
      </c>
      <c r="O49" s="1" t="str">
        <f t="shared" si="1"/>
        <v/>
      </c>
      <c r="P49" s="2138" t="s">
        <v>2310</v>
      </c>
      <c r="Q49" s="2135" t="s">
        <v>2311</v>
      </c>
      <c r="R49" s="2150">
        <f t="shared" si="2"/>
        <v>0</v>
      </c>
    </row>
    <row r="50" spans="1:18" ht="15" customHeight="1">
      <c r="A50" s="49"/>
      <c r="B50" s="59"/>
      <c r="C50" s="34"/>
      <c r="D50" s="2147" t="s">
        <v>2347</v>
      </c>
      <c r="E50" s="58"/>
      <c r="F50" s="2148" t="s">
        <v>2354</v>
      </c>
      <c r="G50" s="3"/>
      <c r="I50" s="1"/>
      <c r="J50" s="2850"/>
      <c r="K50" s="1"/>
      <c r="L50" s="1"/>
      <c r="N50" s="1">
        <f t="shared" si="0"/>
        <v>0</v>
      </c>
      <c r="O50" s="1" t="str">
        <f t="shared" si="1"/>
        <v/>
      </c>
      <c r="P50" s="2138"/>
      <c r="Q50" s="2135" t="s">
        <v>1348</v>
      </c>
      <c r="R50" s="2150">
        <f t="shared" si="2"/>
        <v>0</v>
      </c>
    </row>
    <row r="51" spans="1:18" ht="15" customHeight="1">
      <c r="A51" s="49"/>
      <c r="B51" s="59"/>
      <c r="C51" s="34"/>
      <c r="D51" s="2147" t="s">
        <v>2355</v>
      </c>
      <c r="E51" s="58"/>
      <c r="F51" s="2148" t="s">
        <v>2354</v>
      </c>
      <c r="G51" s="3"/>
      <c r="I51" s="1"/>
      <c r="J51" s="1"/>
      <c r="K51" s="1"/>
      <c r="L51" s="1"/>
      <c r="N51" s="1">
        <f t="shared" si="0"/>
        <v>0</v>
      </c>
      <c r="O51" s="1" t="str">
        <f t="shared" si="1"/>
        <v/>
      </c>
      <c r="P51" s="2138"/>
      <c r="Q51" s="2135" t="s">
        <v>1349</v>
      </c>
      <c r="R51" s="2150">
        <f t="shared" si="2"/>
        <v>0</v>
      </c>
    </row>
    <row r="52" spans="1:18" ht="15" customHeight="1">
      <c r="A52" s="49"/>
      <c r="B52" s="59"/>
      <c r="C52" s="34"/>
      <c r="D52" s="2147" t="s">
        <v>2348</v>
      </c>
      <c r="E52" s="58"/>
      <c r="F52" s="2148" t="s">
        <v>2354</v>
      </c>
      <c r="G52" s="3"/>
      <c r="I52" s="1"/>
      <c r="J52" s="1"/>
      <c r="K52" s="1"/>
      <c r="L52" s="1"/>
      <c r="N52" s="1">
        <f t="shared" si="0"/>
        <v>0</v>
      </c>
      <c r="O52" s="1" t="str">
        <f t="shared" si="1"/>
        <v/>
      </c>
      <c r="P52" s="2138"/>
      <c r="Q52" s="2135" t="s">
        <v>2314</v>
      </c>
      <c r="R52" s="2150">
        <f t="shared" si="2"/>
        <v>0</v>
      </c>
    </row>
    <row r="53" spans="1:18" ht="15" customHeight="1">
      <c r="A53" s="49"/>
      <c r="B53" s="59"/>
      <c r="C53" s="34"/>
      <c r="D53" s="2147" t="s">
        <v>2349</v>
      </c>
      <c r="E53" s="58"/>
      <c r="F53" s="2148" t="s">
        <v>2354</v>
      </c>
      <c r="G53" s="3"/>
      <c r="I53" s="1"/>
      <c r="J53" s="1"/>
      <c r="K53" s="1"/>
      <c r="L53" s="1"/>
      <c r="N53" s="1">
        <f t="shared" si="0"/>
        <v>0</v>
      </c>
      <c r="O53" s="1" t="str">
        <f t="shared" si="1"/>
        <v/>
      </c>
      <c r="P53" s="2136"/>
      <c r="Q53" s="2135" t="s">
        <v>2315</v>
      </c>
      <c r="R53" s="2150">
        <f t="shared" si="2"/>
        <v>0</v>
      </c>
    </row>
    <row r="54" spans="1:18" ht="15" customHeight="1">
      <c r="A54" s="49"/>
      <c r="B54" s="59" t="s">
        <v>465</v>
      </c>
      <c r="C54" s="35">
        <f>E54+E55</f>
        <v>0</v>
      </c>
      <c r="D54" s="34" t="s">
        <v>2359</v>
      </c>
      <c r="E54" s="58"/>
      <c r="F54" s="2148" t="s">
        <v>2354</v>
      </c>
      <c r="G54" s="3"/>
      <c r="I54" s="1" t="s">
        <v>466</v>
      </c>
      <c r="J54" s="2426">
        <f>C54</f>
        <v>0</v>
      </c>
      <c r="K54" s="1">
        <f>J54/$J$66</f>
        <v>0</v>
      </c>
      <c r="L54" s="1"/>
      <c r="N54" s="1">
        <f t="shared" si="0"/>
        <v>0</v>
      </c>
      <c r="O54" s="1" t="str">
        <f t="shared" si="1"/>
        <v/>
      </c>
      <c r="P54" s="2134" t="s">
        <v>2307</v>
      </c>
      <c r="Q54" s="2135" t="s">
        <v>1971</v>
      </c>
      <c r="R54" s="2150">
        <f t="shared" si="2"/>
        <v>0</v>
      </c>
    </row>
    <row r="55" spans="1:18" ht="15" customHeight="1">
      <c r="A55" s="49"/>
      <c r="B55" s="59"/>
      <c r="C55" s="34"/>
      <c r="D55" s="2147" t="s">
        <v>2351</v>
      </c>
      <c r="E55" s="58"/>
      <c r="F55" s="2148" t="s">
        <v>2354</v>
      </c>
      <c r="G55" s="3"/>
      <c r="I55" s="1"/>
      <c r="J55" s="1"/>
      <c r="K55" s="1"/>
      <c r="L55" s="1"/>
      <c r="N55" s="1">
        <f t="shared" si="0"/>
        <v>0</v>
      </c>
      <c r="O55" s="1" t="str">
        <f t="shared" si="1"/>
        <v/>
      </c>
      <c r="P55" s="2136"/>
      <c r="Q55" s="2135" t="s">
        <v>2308</v>
      </c>
      <c r="R55" s="2150">
        <f t="shared" si="2"/>
        <v>0</v>
      </c>
    </row>
    <row r="56" spans="1:18" ht="15" customHeight="1">
      <c r="A56" s="49"/>
      <c r="B56" s="59" t="s">
        <v>467</v>
      </c>
      <c r="C56" s="58"/>
      <c r="D56" s="34" t="s">
        <v>689</v>
      </c>
      <c r="E56" s="34"/>
      <c r="F56" s="2148"/>
      <c r="G56" s="3"/>
      <c r="I56" s="1" t="s">
        <v>468</v>
      </c>
      <c r="J56" s="2850">
        <f>C56</f>
        <v>0</v>
      </c>
      <c r="K56" s="1">
        <f>J56/$J$66</f>
        <v>0</v>
      </c>
      <c r="L56" s="1"/>
      <c r="N56" s="1">
        <f t="shared" si="0"/>
        <v>0</v>
      </c>
      <c r="O56" s="1" t="str">
        <f t="shared" si="1"/>
        <v/>
      </c>
      <c r="P56" s="2135" t="s">
        <v>468</v>
      </c>
      <c r="Q56" s="2137"/>
      <c r="R56" s="2150">
        <f>C56</f>
        <v>0</v>
      </c>
    </row>
    <row r="57" spans="1:18" ht="15" customHeight="1">
      <c r="A57" s="49"/>
      <c r="B57" s="59" t="s">
        <v>469</v>
      </c>
      <c r="C57" s="35">
        <f>E57+E58+E59</f>
        <v>0</v>
      </c>
      <c r="D57" s="34" t="s">
        <v>2360</v>
      </c>
      <c r="E57" s="58"/>
      <c r="F57" s="2148" t="s">
        <v>2354</v>
      </c>
      <c r="G57" s="3"/>
      <c r="I57" s="1" t="s">
        <v>470</v>
      </c>
      <c r="J57" s="1">
        <f>C57</f>
        <v>0</v>
      </c>
      <c r="K57" s="1">
        <f>J57/$J$66</f>
        <v>0</v>
      </c>
      <c r="L57" s="1"/>
      <c r="N57" s="1">
        <f t="shared" si="0"/>
        <v>0</v>
      </c>
      <c r="O57" s="1" t="str">
        <f t="shared" si="1"/>
        <v/>
      </c>
      <c r="P57" s="2134" t="s">
        <v>2316</v>
      </c>
      <c r="Q57" s="2135" t="s">
        <v>2317</v>
      </c>
      <c r="R57" s="2150">
        <f t="shared" si="2"/>
        <v>0</v>
      </c>
    </row>
    <row r="58" spans="1:18" ht="15" customHeight="1">
      <c r="A58" s="49"/>
      <c r="B58" s="59"/>
      <c r="C58" s="34"/>
      <c r="D58" s="2147" t="s">
        <v>2352</v>
      </c>
      <c r="E58" s="58"/>
      <c r="F58" s="2148" t="s">
        <v>2354</v>
      </c>
      <c r="G58" s="3"/>
      <c r="I58" s="1"/>
      <c r="J58" s="1"/>
      <c r="K58" s="1"/>
      <c r="L58" s="1"/>
      <c r="N58" s="1">
        <f t="shared" si="0"/>
        <v>0</v>
      </c>
      <c r="O58" s="1" t="str">
        <f t="shared" si="1"/>
        <v/>
      </c>
      <c r="P58" s="2138"/>
      <c r="Q58" s="2135" t="s">
        <v>2318</v>
      </c>
      <c r="R58" s="2150">
        <f t="shared" si="2"/>
        <v>0</v>
      </c>
    </row>
    <row r="59" spans="1:18" ht="15" customHeight="1">
      <c r="A59" s="49"/>
      <c r="B59" s="59"/>
      <c r="C59" s="34"/>
      <c r="D59" s="2147" t="s">
        <v>2353</v>
      </c>
      <c r="E59" s="58"/>
      <c r="F59" s="2148" t="s">
        <v>2354</v>
      </c>
      <c r="G59" s="3"/>
      <c r="I59" s="1"/>
      <c r="J59" s="1"/>
      <c r="K59" s="1"/>
      <c r="L59" s="1"/>
      <c r="N59" s="1">
        <f t="shared" si="0"/>
        <v>0</v>
      </c>
      <c r="O59" s="1" t="str">
        <f t="shared" si="1"/>
        <v/>
      </c>
      <c r="P59" s="2138"/>
      <c r="Q59" s="2132" t="s">
        <v>2319</v>
      </c>
      <c r="R59" s="2150">
        <f t="shared" si="2"/>
        <v>0</v>
      </c>
    </row>
    <row r="60" spans="1:18" ht="15" customHeight="1">
      <c r="A60" s="49"/>
      <c r="B60" s="59" t="s">
        <v>471</v>
      </c>
      <c r="C60" s="58"/>
      <c r="D60" s="2425" t="s">
        <v>3209</v>
      </c>
      <c r="E60" s="58"/>
      <c r="F60" s="2148" t="s">
        <v>680</v>
      </c>
      <c r="G60" s="3"/>
      <c r="I60" s="1" t="s">
        <v>478</v>
      </c>
      <c r="J60" s="1">
        <f>C60</f>
        <v>0</v>
      </c>
      <c r="K60" s="1">
        <f>J60/$J$66</f>
        <v>0</v>
      </c>
      <c r="L60" s="1"/>
      <c r="N60" s="1">
        <f t="shared" si="0"/>
        <v>0</v>
      </c>
      <c r="O60" s="1" t="str">
        <f t="shared" si="1"/>
        <v/>
      </c>
      <c r="P60" s="2135" t="s">
        <v>478</v>
      </c>
      <c r="Q60" s="2137"/>
      <c r="R60" s="2150">
        <f>C60</f>
        <v>0</v>
      </c>
    </row>
    <row r="61" spans="1:18" ht="15" customHeight="1">
      <c r="A61" s="49"/>
      <c r="B61" s="59" t="s">
        <v>473</v>
      </c>
      <c r="C61" s="58"/>
      <c r="D61" s="34" t="s">
        <v>689</v>
      </c>
      <c r="E61" s="34"/>
      <c r="F61" s="2148"/>
      <c r="G61" s="3"/>
      <c r="I61" s="1" t="s">
        <v>472</v>
      </c>
      <c r="J61" s="1">
        <f>C61</f>
        <v>0</v>
      </c>
      <c r="K61" s="1">
        <f>J61/$J$66</f>
        <v>0</v>
      </c>
      <c r="L61" s="1">
        <f>J61*F68</f>
        <v>0</v>
      </c>
      <c r="N61" s="1">
        <f t="shared" si="0"/>
        <v>0</v>
      </c>
      <c r="O61" s="1" t="str">
        <f t="shared" si="1"/>
        <v/>
      </c>
      <c r="P61" s="2135" t="s">
        <v>472</v>
      </c>
      <c r="Q61" s="2137"/>
      <c r="R61" s="2150">
        <f>C61</f>
        <v>0</v>
      </c>
    </row>
    <row r="62" spans="1:18" ht="15" customHeight="1">
      <c r="A62" s="49"/>
      <c r="B62" s="59" t="s">
        <v>475</v>
      </c>
      <c r="C62" s="58"/>
      <c r="D62" s="34" t="s">
        <v>689</v>
      </c>
      <c r="E62" s="34"/>
      <c r="F62" s="2148"/>
      <c r="G62" s="3"/>
      <c r="I62" s="1" t="s">
        <v>690</v>
      </c>
      <c r="J62" s="1">
        <f>C62</f>
        <v>0</v>
      </c>
      <c r="K62" s="1">
        <f>J62/$J$66</f>
        <v>0</v>
      </c>
      <c r="L62" s="1">
        <f>J62*F69</f>
        <v>0</v>
      </c>
      <c r="N62" s="1">
        <f t="shared" si="0"/>
        <v>0</v>
      </c>
      <c r="O62" s="1" t="str">
        <f t="shared" si="1"/>
        <v/>
      </c>
      <c r="P62" s="2135" t="s">
        <v>2309</v>
      </c>
      <c r="Q62" s="2137"/>
      <c r="R62" s="2150">
        <f>C62</f>
        <v>0</v>
      </c>
    </row>
    <row r="63" spans="1:18" ht="15" customHeight="1">
      <c r="A63" s="49"/>
      <c r="B63" s="59" t="s">
        <v>2055</v>
      </c>
      <c r="C63" s="35">
        <f>SUM(C47:C62)</f>
        <v>30000</v>
      </c>
      <c r="D63" s="34" t="s">
        <v>689</v>
      </c>
      <c r="E63" s="34"/>
      <c r="F63" s="2148"/>
      <c r="G63" s="3"/>
      <c r="I63" s="1"/>
      <c r="J63" s="1"/>
      <c r="K63" s="1"/>
      <c r="L63" s="1"/>
      <c r="N63" s="1">
        <f t="shared" si="0"/>
        <v>0</v>
      </c>
      <c r="O63" s="1" t="str">
        <f t="shared" si="1"/>
        <v/>
      </c>
      <c r="P63" s="2143"/>
      <c r="Q63" s="2133"/>
    </row>
    <row r="64" spans="1:18" ht="15" customHeight="1">
      <c r="A64" s="49"/>
      <c r="B64" s="60" t="s">
        <v>477</v>
      </c>
      <c r="C64" s="35">
        <f>E64+E65</f>
        <v>0</v>
      </c>
      <c r="D64" s="34" t="s">
        <v>2361</v>
      </c>
      <c r="E64" s="58"/>
      <c r="F64" s="2148" t="s">
        <v>2354</v>
      </c>
      <c r="G64" s="3"/>
      <c r="I64" s="1" t="s">
        <v>476</v>
      </c>
      <c r="J64" s="1">
        <f>C64</f>
        <v>0</v>
      </c>
      <c r="K64" s="1">
        <f>J64/$J$66</f>
        <v>0</v>
      </c>
      <c r="L64" s="2850">
        <f>E64</f>
        <v>0</v>
      </c>
      <c r="N64" s="1">
        <f t="shared" si="0"/>
        <v>0</v>
      </c>
      <c r="O64" s="1" t="str">
        <f t="shared" si="1"/>
        <v/>
      </c>
      <c r="P64" s="2" t="s">
        <v>2089</v>
      </c>
      <c r="Q64" s="2139" t="s">
        <v>2340</v>
      </c>
      <c r="R64" s="2150">
        <f>E64</f>
        <v>0</v>
      </c>
    </row>
    <row r="65" spans="1:18" ht="15" customHeight="1">
      <c r="A65" s="49"/>
      <c r="B65" s="2091"/>
      <c r="C65" s="34"/>
      <c r="D65" s="2147" t="s">
        <v>2356</v>
      </c>
      <c r="E65" s="58"/>
      <c r="F65" s="2148" t="s">
        <v>2354</v>
      </c>
      <c r="G65" s="3"/>
      <c r="I65" s="1"/>
      <c r="J65" s="1"/>
      <c r="K65" s="1"/>
      <c r="L65" s="1"/>
      <c r="N65" s="1"/>
      <c r="O65" s="1"/>
      <c r="P65" s="2140"/>
      <c r="Q65" s="2141" t="s">
        <v>483</v>
      </c>
      <c r="R65" s="2150">
        <f>E65</f>
        <v>0</v>
      </c>
    </row>
    <row r="66" spans="1:18" ht="15" customHeight="1">
      <c r="A66" s="49"/>
      <c r="B66" s="2091"/>
      <c r="C66" s="34"/>
      <c r="D66" s="34"/>
      <c r="E66" s="34"/>
      <c r="F66" s="27"/>
      <c r="G66" s="3"/>
      <c r="I66" s="1" t="s">
        <v>480</v>
      </c>
      <c r="J66" s="1">
        <f>SUM(J47:J64)</f>
        <v>30000</v>
      </c>
      <c r="K66" s="1">
        <f>J66/$J$66</f>
        <v>1</v>
      </c>
      <c r="L66" s="1">
        <f>SUM(L47:L64)</f>
        <v>0</v>
      </c>
      <c r="O66" s="1" t="str">
        <f>IF(MAX(N47:N63)&gt;3,"等","")</f>
        <v/>
      </c>
    </row>
    <row r="67" spans="1:18" ht="15" customHeight="1">
      <c r="A67" s="49"/>
      <c r="B67" s="20" t="s">
        <v>479</v>
      </c>
      <c r="C67" s="54"/>
      <c r="D67" s="2145"/>
      <c r="E67" s="55"/>
      <c r="F67" s="56"/>
      <c r="G67" s="3"/>
      <c r="O67" s="1" t="str">
        <f>O47&amp;O49&amp;O54&amp;O56&amp;O57&amp;O61&amp;O62&amp;O64&amp;O60&amp;O66</f>
        <v>事務所,</v>
      </c>
    </row>
    <row r="68" spans="1:18" ht="15" customHeight="1">
      <c r="A68" s="49"/>
      <c r="B68" s="60" t="s">
        <v>1792</v>
      </c>
      <c r="C68" s="61"/>
      <c r="D68" s="61"/>
      <c r="E68" s="61"/>
      <c r="F68" s="62"/>
      <c r="G68" s="3"/>
    </row>
    <row r="69" spans="1:18" ht="15" customHeight="1">
      <c r="A69" s="49"/>
      <c r="B69" s="60" t="s">
        <v>1793</v>
      </c>
      <c r="C69" s="61"/>
      <c r="D69" s="61"/>
      <c r="E69" s="61"/>
      <c r="F69" s="62"/>
      <c r="G69" s="3"/>
    </row>
    <row r="70" spans="1:18" ht="15" customHeight="1">
      <c r="A70" s="49"/>
      <c r="B70" s="60" t="s">
        <v>2492</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1975</v>
      </c>
      <c r="C73" s="67"/>
      <c r="D73" s="67"/>
      <c r="E73" s="68"/>
      <c r="F73" s="69"/>
      <c r="G73" s="3"/>
    </row>
    <row r="74" spans="1:18" ht="15" customHeight="1" thickBot="1">
      <c r="A74" s="49"/>
      <c r="B74" s="70" t="s">
        <v>1976</v>
      </c>
      <c r="C74" s="71" t="s">
        <v>1977</v>
      </c>
      <c r="D74" s="2146"/>
      <c r="E74" s="72"/>
      <c r="F74" s="73"/>
      <c r="G74" s="3"/>
    </row>
    <row r="75" spans="1:18" ht="15" customHeight="1">
      <c r="A75" s="49"/>
      <c r="B75" s="74" t="s">
        <v>1978</v>
      </c>
      <c r="C75" s="75" t="s">
        <v>1979</v>
      </c>
      <c r="D75" s="76"/>
      <c r="E75" s="76" t="s">
        <v>1980</v>
      </c>
      <c r="F75" s="77"/>
      <c r="G75" s="3"/>
    </row>
    <row r="76" spans="1:18" ht="15" customHeight="1" thickBot="1">
      <c r="A76" s="23"/>
      <c r="B76" s="70" t="s">
        <v>1981</v>
      </c>
      <c r="C76" s="78" t="s">
        <v>345</v>
      </c>
      <c r="D76" s="79"/>
      <c r="E76" s="79" t="s">
        <v>346</v>
      </c>
      <c r="F76" s="80"/>
      <c r="G76" s="3"/>
    </row>
    <row r="77" spans="1:18" ht="5.25" customHeight="1">
      <c r="A77" s="49"/>
      <c r="B77" s="49"/>
      <c r="C77" s="49"/>
      <c r="D77" s="49"/>
      <c r="E77" s="49"/>
      <c r="F77" s="49"/>
      <c r="G77" s="3"/>
    </row>
    <row r="78" spans="1:18" ht="15" customHeight="1">
      <c r="A78" s="23"/>
      <c r="B78" s="2883" t="s">
        <v>347</v>
      </c>
      <c r="C78" s="1381" t="s">
        <v>348</v>
      </c>
      <c r="D78" s="2884"/>
      <c r="E78" s="81"/>
      <c r="F78" s="82"/>
      <c r="G78" s="3"/>
    </row>
    <row r="79" spans="1:18" ht="15" customHeight="1">
      <c r="A79" s="23"/>
      <c r="B79" s="2885" t="s">
        <v>349</v>
      </c>
      <c r="C79" s="2886" t="s">
        <v>3054</v>
      </c>
      <c r="D79" s="2887"/>
      <c r="E79" s="83"/>
      <c r="F79" s="84"/>
      <c r="G79" s="85"/>
    </row>
    <row r="80" spans="1:18" ht="15" customHeight="1">
      <c r="A80" s="23"/>
      <c r="B80" s="2888" t="s">
        <v>463</v>
      </c>
      <c r="C80" s="2889" t="s">
        <v>1746</v>
      </c>
      <c r="D80" s="2890"/>
      <c r="E80" s="86"/>
      <c r="F80" s="87"/>
      <c r="G80" s="85"/>
    </row>
    <row r="81" spans="1:7" ht="15" customHeight="1">
      <c r="A81" s="23"/>
      <c r="B81" s="2888" t="s">
        <v>465</v>
      </c>
      <c r="C81" s="2889" t="s">
        <v>2684</v>
      </c>
      <c r="D81" s="2890"/>
      <c r="E81" s="86"/>
      <c r="F81" s="87"/>
      <c r="G81" s="85"/>
    </row>
    <row r="82" spans="1:7" ht="15" customHeight="1">
      <c r="A82" s="23"/>
      <c r="B82" s="2888" t="s">
        <v>467</v>
      </c>
      <c r="C82" s="2889" t="s">
        <v>1421</v>
      </c>
      <c r="D82" s="2890"/>
      <c r="E82" s="86"/>
      <c r="F82" s="87"/>
      <c r="G82" s="85"/>
    </row>
    <row r="83" spans="1:7" ht="15" customHeight="1">
      <c r="A83" s="23"/>
      <c r="B83" s="2888" t="s">
        <v>469</v>
      </c>
      <c r="C83" s="2876" t="s">
        <v>3055</v>
      </c>
      <c r="D83" s="2890"/>
      <c r="E83" s="86"/>
      <c r="F83" s="87"/>
      <c r="G83" s="85"/>
    </row>
    <row r="84" spans="1:7" ht="15" customHeight="1">
      <c r="A84" s="23"/>
      <c r="B84" s="2888" t="s">
        <v>471</v>
      </c>
      <c r="C84" s="2889" t="s">
        <v>1422</v>
      </c>
      <c r="D84" s="2890"/>
      <c r="E84" s="88"/>
      <c r="F84" s="87"/>
      <c r="G84" s="85"/>
    </row>
    <row r="85" spans="1:7" ht="15" customHeight="1">
      <c r="A85" s="23"/>
      <c r="B85" s="2888" t="s">
        <v>473</v>
      </c>
      <c r="C85" s="2889" t="s">
        <v>1423</v>
      </c>
      <c r="D85" s="2890"/>
      <c r="E85" s="86"/>
      <c r="F85" s="87"/>
      <c r="G85" s="85"/>
    </row>
    <row r="86" spans="1:7" ht="15" customHeight="1">
      <c r="A86" s="23"/>
      <c r="B86" s="2888" t="s">
        <v>475</v>
      </c>
      <c r="C86" s="2889" t="s">
        <v>1424</v>
      </c>
      <c r="D86" s="2890"/>
      <c r="E86" s="86"/>
      <c r="F86" s="87"/>
      <c r="G86" s="85"/>
    </row>
    <row r="87" spans="1:7" ht="15" customHeight="1">
      <c r="A87" s="23"/>
      <c r="B87" s="2891" t="s">
        <v>477</v>
      </c>
      <c r="C87" s="2892" t="s">
        <v>691</v>
      </c>
      <c r="D87" s="289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yRd3m+m/xYDuceJvSeje/ser4DfArcnSLlERAYuRI2INMXUF0uiWL9cErzTK+sx2cTHWu9u/FLy83iZo3yzU2g==" saltValue="W0GHkZAKvkJcXtKRmP6Rig==" spinCount="100000"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zoomScaleNormal="100" workbookViewId="0">
      <selection activeCell="D10" sqref="D1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263" t="s">
        <v>2253</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264"/>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264"/>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2157</v>
      </c>
      <c r="K5" s="3266" t="str">
        <f>メイン!C6</f>
        <v>CASBEE-建築(新築)2016年版</v>
      </c>
      <c r="L5" s="3267"/>
      <c r="M5" s="160" t="s">
        <v>2254</v>
      </c>
      <c r="N5" s="3266" t="str">
        <f>メイン!C5</f>
        <v>CASBEE-BD_NC_2016(v3.0)</v>
      </c>
      <c r="O5" s="3268"/>
      <c r="P5" s="144"/>
      <c r="Q5" s="3265"/>
      <c r="R5" s="176" t="s">
        <v>2257</v>
      </c>
      <c r="T5" s="153"/>
      <c r="U5" s="176" t="s">
        <v>2258</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2255</v>
      </c>
      <c r="C7" s="170"/>
      <c r="D7" s="171"/>
      <c r="E7" s="170"/>
      <c r="F7" s="170"/>
      <c r="G7" s="170"/>
      <c r="H7" s="172"/>
      <c r="I7" s="173"/>
      <c r="J7" s="173"/>
      <c r="K7" s="173"/>
      <c r="L7" s="174" t="s">
        <v>2256</v>
      </c>
      <c r="M7" s="170"/>
      <c r="N7" s="170"/>
      <c r="O7" s="175"/>
      <c r="P7" s="144"/>
      <c r="Q7" s="144"/>
      <c r="R7" s="188" t="s">
        <v>2422</v>
      </c>
      <c r="S7" s="188">
        <f>スコア!AC8</f>
        <v>2.9832000000000001</v>
      </c>
      <c r="T7" s="153"/>
      <c r="U7" s="189"/>
      <c r="V7" s="189" t="s">
        <v>2261</v>
      </c>
      <c r="W7" s="190" t="s">
        <v>2423</v>
      </c>
      <c r="X7" s="190">
        <v>4</v>
      </c>
      <c r="Y7" s="190">
        <v>2</v>
      </c>
      <c r="Z7" s="191" t="s">
        <v>2424</v>
      </c>
      <c r="AA7" s="192" t="s">
        <v>2425</v>
      </c>
      <c r="AB7" s="153"/>
    </row>
    <row r="8" spans="1:28" s="154" customFormat="1" ht="19.5" customHeight="1">
      <c r="A8" s="144"/>
      <c r="B8" s="177" t="s">
        <v>2259</v>
      </c>
      <c r="C8" s="178"/>
      <c r="D8" s="179" t="str">
        <f>メイン!C11</f>
        <v>○○ビル</v>
      </c>
      <c r="E8" s="178"/>
      <c r="F8" s="178"/>
      <c r="G8" s="180"/>
      <c r="H8" s="181" t="s">
        <v>2260</v>
      </c>
      <c r="I8" s="182"/>
      <c r="J8" s="183" t="str">
        <f>メイン!C22</f>
        <v>地上○○F</v>
      </c>
      <c r="K8" s="184"/>
      <c r="L8" s="185"/>
      <c r="M8" s="186"/>
      <c r="N8" s="186"/>
      <c r="O8" s="187"/>
      <c r="P8" s="144"/>
      <c r="Q8" s="144"/>
      <c r="R8" s="188" t="s">
        <v>2426</v>
      </c>
      <c r="S8" s="188" t="e">
        <f>スコア!AC121</f>
        <v>#VALUE!</v>
      </c>
      <c r="T8" s="153"/>
      <c r="U8" s="203" t="s">
        <v>2427</v>
      </c>
      <c r="V8" s="189" t="s">
        <v>752</v>
      </c>
      <c r="W8" s="190">
        <v>5</v>
      </c>
      <c r="X8" s="190">
        <v>4</v>
      </c>
      <c r="Y8" s="190">
        <v>2</v>
      </c>
      <c r="Z8" s="204">
        <f>V46</f>
        <v>2.9</v>
      </c>
      <c r="AA8" s="192">
        <v>3</v>
      </c>
      <c r="AB8" s="153"/>
    </row>
    <row r="9" spans="1:28" s="154" customFormat="1" ht="19.5" customHeight="1">
      <c r="A9" s="144"/>
      <c r="B9" s="193" t="s">
        <v>2263</v>
      </c>
      <c r="C9" s="194"/>
      <c r="D9" s="195" t="str">
        <f>メイン!C12</f>
        <v>○○県○○市</v>
      </c>
      <c r="E9" s="194"/>
      <c r="F9" s="196"/>
      <c r="H9" s="197" t="s">
        <v>2264</v>
      </c>
      <c r="I9" s="198"/>
      <c r="J9" s="199">
        <f>メイン!C23</f>
        <v>0</v>
      </c>
      <c r="K9" s="200"/>
      <c r="L9" s="201"/>
      <c r="O9" s="202"/>
      <c r="P9" s="144"/>
      <c r="Q9" s="144"/>
      <c r="R9" s="191" t="s">
        <v>753</v>
      </c>
      <c r="S9" s="191">
        <f>25*(S7-1)</f>
        <v>49.58</v>
      </c>
      <c r="U9" s="203" t="s">
        <v>754</v>
      </c>
      <c r="V9" s="210" t="s">
        <v>2271</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2269</v>
      </c>
      <c r="I10" s="182"/>
      <c r="J10" s="206" t="str">
        <f>メイン!C32</f>
        <v>XX</v>
      </c>
      <c r="K10" s="196" t="s">
        <v>2270</v>
      </c>
      <c r="L10" s="207"/>
      <c r="M10" s="208"/>
      <c r="N10" s="208"/>
      <c r="O10" s="209"/>
      <c r="P10" s="144"/>
      <c r="Q10" s="144"/>
      <c r="R10" s="191" t="s">
        <v>2272</v>
      </c>
      <c r="S10" s="191" t="e">
        <f>25*(5-S8)</f>
        <v>#VALUE!</v>
      </c>
      <c r="U10" s="203" t="s">
        <v>1840</v>
      </c>
      <c r="V10" s="217" t="s">
        <v>2273</v>
      </c>
      <c r="W10" s="190">
        <v>5</v>
      </c>
      <c r="X10" s="190">
        <v>4</v>
      </c>
      <c r="Y10" s="190">
        <v>2</v>
      </c>
      <c r="Z10" s="204" t="e">
        <f>Y57</f>
        <v>#VALUE!</v>
      </c>
      <c r="AA10" s="192">
        <v>3</v>
      </c>
    </row>
    <row r="11" spans="1:28" s="154" customFormat="1" ht="18.75" customHeight="1">
      <c r="A11" s="144"/>
      <c r="B11" s="211" t="s">
        <v>3053</v>
      </c>
      <c r="C11" s="212"/>
      <c r="D11" s="213" t="str">
        <f>IF(メイン!F12="","",メイン!F12)</f>
        <v/>
      </c>
      <c r="E11" s="212"/>
      <c r="F11" s="214"/>
      <c r="G11" s="215"/>
      <c r="H11" s="197" t="str">
        <f>IF(メイン!I3=3,メイン!J33,メイン!I33)</f>
        <v>年間使用時間</v>
      </c>
      <c r="I11" s="198"/>
      <c r="J11" s="216" t="str">
        <f>IF(メイン!I3=3,メイン!C34,メイン!C33)</f>
        <v>XXX</v>
      </c>
      <c r="K11" s="3034" t="str">
        <f>IF(メイン!I3=3,メイン!D34,メイン!D33)</f>
        <v>時間/年（想定値）</v>
      </c>
      <c r="L11" s="207"/>
      <c r="M11" s="208"/>
      <c r="N11" s="208"/>
      <c r="O11" s="209"/>
      <c r="P11" s="144"/>
      <c r="Q11" s="144"/>
      <c r="R11" s="191" t="s">
        <v>2277</v>
      </c>
      <c r="S11" s="191" t="e">
        <f>S9/S10</f>
        <v>#VALUE!</v>
      </c>
      <c r="U11" s="203" t="s">
        <v>2392</v>
      </c>
      <c r="V11" s="217" t="s">
        <v>2278</v>
      </c>
      <c r="W11" s="190">
        <v>5</v>
      </c>
      <c r="X11" s="190">
        <v>4</v>
      </c>
      <c r="Y11" s="190">
        <v>2</v>
      </c>
      <c r="Z11" s="204">
        <f>V57</f>
        <v>3</v>
      </c>
      <c r="AA11" s="192">
        <v>3</v>
      </c>
    </row>
    <row r="12" spans="1:28" s="154" customFormat="1" ht="18.75" customHeight="1">
      <c r="A12" s="144"/>
      <c r="B12" s="218" t="s">
        <v>2274</v>
      </c>
      <c r="C12" s="219"/>
      <c r="D12" s="220" t="str">
        <f>メイン!C21</f>
        <v>事務所,</v>
      </c>
      <c r="E12" s="219"/>
      <c r="F12" s="219"/>
      <c r="G12" s="221"/>
      <c r="H12" s="197" t="s">
        <v>2275</v>
      </c>
      <c r="I12" s="222"/>
      <c r="J12" s="199" t="str">
        <f>IF(メイン!E39=0,"",メイン!E39&amp;"評価")</f>
        <v/>
      </c>
      <c r="K12" s="223"/>
      <c r="L12" s="207"/>
      <c r="M12" s="224" t="s">
        <v>2276</v>
      </c>
      <c r="N12" s="208"/>
      <c r="O12" s="209"/>
      <c r="P12" s="144"/>
      <c r="Q12" s="144"/>
      <c r="R12" s="203" t="s">
        <v>755</v>
      </c>
      <c r="S12" s="229" t="e">
        <f>ROUNDDOWN(S11,1)</f>
        <v>#VALUE!</v>
      </c>
      <c r="U12" s="203" t="s">
        <v>756</v>
      </c>
      <c r="V12" s="217" t="s">
        <v>757</v>
      </c>
      <c r="W12" s="190">
        <v>5</v>
      </c>
      <c r="X12" s="190">
        <v>4</v>
      </c>
      <c r="Y12" s="190">
        <v>2</v>
      </c>
      <c r="Z12" s="204">
        <f>S57</f>
        <v>3</v>
      </c>
      <c r="AA12" s="192">
        <v>3</v>
      </c>
    </row>
    <row r="13" spans="1:28" s="154" customFormat="1" ht="17.25" customHeight="1">
      <c r="A13" s="144"/>
      <c r="B13" s="2744" t="s">
        <v>612</v>
      </c>
      <c r="C13" s="2745"/>
      <c r="D13" s="3269" t="str">
        <f>メイン!C15</f>
        <v>201●年●月</v>
      </c>
      <c r="E13" s="3270"/>
      <c r="F13" s="2746">
        <f>メイン!F15</f>
        <v>0</v>
      </c>
      <c r="G13" s="2747"/>
      <c r="H13" s="181" t="s">
        <v>613</v>
      </c>
      <c r="I13" s="225"/>
      <c r="J13" s="226" t="str">
        <f>IF(メイン!C39=0,"",メイン!C39)</f>
        <v>201●年●月●日</v>
      </c>
      <c r="K13" s="227"/>
      <c r="L13" s="207"/>
      <c r="M13" s="228" t="s">
        <v>2938</v>
      </c>
      <c r="N13" s="208"/>
      <c r="O13" s="209"/>
      <c r="P13" s="144"/>
      <c r="Q13" s="144"/>
      <c r="R13" s="191" t="s">
        <v>619</v>
      </c>
      <c r="S13" s="235" t="e">
        <f>IF(AND($S$9&gt;=50,$S$11&gt;=3),1,IF(S12&lt;0.5,1,IF(S12&lt;1,2,IF(S12&lt;1.5,3,IF(S12&lt;3,4,4))))/5)</f>
        <v>#VALUE!</v>
      </c>
      <c r="U13" s="203" t="s">
        <v>759</v>
      </c>
      <c r="V13" s="210" t="s">
        <v>616</v>
      </c>
      <c r="W13" s="190">
        <v>5</v>
      </c>
      <c r="X13" s="190">
        <v>4</v>
      </c>
      <c r="Y13" s="190">
        <v>2</v>
      </c>
      <c r="Z13" s="204">
        <f>IF(S46=0,1,S46)</f>
        <v>2.9</v>
      </c>
      <c r="AA13" s="192">
        <v>3</v>
      </c>
    </row>
    <row r="14" spans="1:28" s="154" customFormat="1" ht="17.25" hidden="1" customHeight="1">
      <c r="A14" s="144"/>
      <c r="B14" s="2677" t="s">
        <v>3335</v>
      </c>
      <c r="C14" s="184"/>
      <c r="D14" s="3271" t="str">
        <f>メイン!C16</f>
        <v>2016年６月～８月</v>
      </c>
      <c r="E14" s="3272"/>
      <c r="F14"/>
      <c r="G14"/>
      <c r="H14" s="181"/>
      <c r="I14" s="225"/>
      <c r="J14" s="226"/>
      <c r="K14" s="227"/>
      <c r="L14" s="207"/>
      <c r="M14" s="228"/>
      <c r="N14" s="208"/>
      <c r="O14" s="209"/>
      <c r="P14" s="144"/>
      <c r="Q14" s="144"/>
      <c r="R14" s="191" t="s">
        <v>622</v>
      </c>
      <c r="S14" s="242" t="e">
        <f>1-S13</f>
        <v>#VALUE!</v>
      </c>
    </row>
    <row r="15" spans="1:28" s="154" customFormat="1" ht="14.25">
      <c r="A15" s="144"/>
      <c r="B15" s="2748" t="s">
        <v>614</v>
      </c>
      <c r="C15" s="2749"/>
      <c r="D15" s="2750"/>
      <c r="E15" s="2751" t="str">
        <f>メイン!C17</f>
        <v>XXX</v>
      </c>
      <c r="F15" s="2746" t="s">
        <v>758</v>
      </c>
      <c r="G15" s="2747"/>
      <c r="H15" s="181" t="s">
        <v>615</v>
      </c>
      <c r="I15" s="225"/>
      <c r="J15" s="234" t="str">
        <f>IF(メイン!C40=0,"",メイン!C40)</f>
        <v>○○○</v>
      </c>
      <c r="K15" s="227"/>
      <c r="L15" s="207"/>
      <c r="M15" s="228" t="s">
        <v>2939</v>
      </c>
      <c r="N15" s="208"/>
      <c r="O15" s="209"/>
      <c r="P15" s="144"/>
      <c r="Q15" s="144"/>
    </row>
    <row r="16" spans="1:28" s="154" customFormat="1" ht="18.75" customHeight="1">
      <c r="A16" s="144"/>
      <c r="B16" s="181" t="s">
        <v>617</v>
      </c>
      <c r="C16" s="230"/>
      <c r="D16" s="231"/>
      <c r="E16" s="232" t="str">
        <f>メイン!C18</f>
        <v>XXX</v>
      </c>
      <c r="F16" s="233" t="s">
        <v>760</v>
      </c>
      <c r="H16" s="181" t="s">
        <v>618</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620</v>
      </c>
      <c r="C17" s="230"/>
      <c r="D17" s="231"/>
      <c r="E17" s="237">
        <f>メイン!J66</f>
        <v>30000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6" t="s">
        <v>623</v>
      </c>
      <c r="D18" s="2678" t="s">
        <v>3244</v>
      </c>
      <c r="E18"/>
      <c r="F18"/>
      <c r="G18"/>
      <c r="H18"/>
      <c r="I18"/>
      <c r="J18"/>
      <c r="K18"/>
      <c r="L18" s="244" t="s">
        <v>624</v>
      </c>
      <c r="M18" s="245" t="s">
        <v>625</v>
      </c>
      <c r="N18" s="2678" t="s">
        <v>3244</v>
      </c>
      <c r="O18" s="202"/>
      <c r="P18" s="144"/>
      <c r="Q18" s="144"/>
      <c r="R18" s="236"/>
      <c r="S18" s="236"/>
      <c r="T18" s="236"/>
      <c r="U18" s="236"/>
      <c r="V18" s="236"/>
      <c r="W18" s="236"/>
      <c r="X18" s="236"/>
      <c r="Y18" s="236"/>
      <c r="Z18" s="236"/>
      <c r="AA18" s="236"/>
      <c r="AB18" s="236"/>
    </row>
    <row r="19" spans="1:28" s="154" customFormat="1" ht="15" hidden="1" thickBot="1">
      <c r="A19" s="144"/>
      <c r="B19" s="2676" t="s">
        <v>626</v>
      </c>
      <c r="C19" s="246"/>
      <c r="D19" s="2678" t="s">
        <v>3244</v>
      </c>
      <c r="E19"/>
      <c r="F19"/>
      <c r="G19"/>
      <c r="H19"/>
      <c r="I19"/>
      <c r="J19"/>
      <c r="K19"/>
      <c r="L19" s="248"/>
      <c r="M19" s="245" t="s">
        <v>627</v>
      </c>
      <c r="N19" s="2678" t="s">
        <v>3244</v>
      </c>
      <c r="O19" s="249"/>
      <c r="P19" s="144"/>
      <c r="Q19" s="144"/>
      <c r="R19" s="250"/>
      <c r="S19" s="251"/>
      <c r="T19" s="236"/>
      <c r="U19" s="236"/>
      <c r="V19" s="251"/>
      <c r="W19" s="252"/>
      <c r="X19" s="236"/>
      <c r="Y19" s="236"/>
      <c r="Z19" s="236"/>
      <c r="AA19" s="236"/>
      <c r="AB19" s="236"/>
    </row>
    <row r="20" spans="1:28" s="154" customFormat="1" ht="15" hidden="1" thickBot="1">
      <c r="A20" s="144"/>
      <c r="B20" s="2676" t="s">
        <v>628</v>
      </c>
      <c r="C20" s="182"/>
      <c r="D20" s="2678" t="s">
        <v>3244</v>
      </c>
      <c r="E20"/>
      <c r="F20"/>
      <c r="G20"/>
      <c r="H20"/>
      <c r="I20"/>
      <c r="J20"/>
      <c r="K20"/>
      <c r="L20" s="248"/>
      <c r="M20" s="245" t="s">
        <v>629</v>
      </c>
      <c r="N20" s="2678" t="s">
        <v>3244</v>
      </c>
      <c r="O20" s="249"/>
      <c r="P20" s="144"/>
      <c r="Q20" s="144"/>
      <c r="R20" s="250"/>
      <c r="S20" s="251"/>
      <c r="T20" s="236"/>
      <c r="U20" s="236"/>
      <c r="V20" s="251"/>
      <c r="W20" s="252"/>
      <c r="X20" s="236"/>
      <c r="Y20" s="236"/>
      <c r="Z20" s="236"/>
      <c r="AA20" s="236"/>
      <c r="AB20" s="236"/>
    </row>
    <row r="21" spans="1:28" s="154" customFormat="1" ht="15" hidden="1" thickBot="1">
      <c r="A21" s="144"/>
      <c r="B21" s="2676" t="s">
        <v>630</v>
      </c>
      <c r="C21" s="205"/>
      <c r="D21" s="2678" t="s">
        <v>3244</v>
      </c>
      <c r="E21"/>
      <c r="F21"/>
      <c r="G21"/>
      <c r="H21"/>
      <c r="I21"/>
      <c r="J21"/>
      <c r="K21"/>
      <c r="L21" s="255"/>
      <c r="M21" s="256" t="s">
        <v>631</v>
      </c>
      <c r="N21" s="2678" t="s">
        <v>3244</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t="e">
        <f>S10</f>
        <v>#VALUE!</v>
      </c>
      <c r="U24" s="204">
        <v>0</v>
      </c>
      <c r="V24" s="236"/>
      <c r="W24" s="189" t="s">
        <v>639</v>
      </c>
      <c r="X24" s="189"/>
      <c r="Y24" s="236"/>
      <c r="Z24" s="189" t="s">
        <v>640</v>
      </c>
      <c r="AA24" s="189"/>
      <c r="AB24" s="236"/>
    </row>
    <row r="25" spans="1:28" s="154" customFormat="1" ht="15" customHeight="1">
      <c r="A25" s="144"/>
      <c r="B25" s="279"/>
      <c r="C25" s="280" t="e">
        <f>S12</f>
        <v>#VALUE!</v>
      </c>
      <c r="H25" s="281"/>
      <c r="I25" s="282"/>
      <c r="J25" s="283"/>
      <c r="K25" s="284"/>
      <c r="L25" s="285"/>
      <c r="M25" s="276"/>
      <c r="N25" s="276"/>
      <c r="O25" s="277"/>
      <c r="R25" s="191" t="s">
        <v>641</v>
      </c>
      <c r="S25" s="204"/>
      <c r="T25" s="278">
        <f>S9</f>
        <v>49.58</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#VALUE!</v>
      </c>
      <c r="T26" s="286" t="e">
        <f>T24</f>
        <v>#VALUE!</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49.58</v>
      </c>
      <c r="U27" s="294">
        <f>T25</f>
        <v>49.58</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t="e">
        <f>IF(T36&lt;=0.3,1,IF(T36&lt;=0.6,0.8,IF(T36&lt;=0.8,0.6,IF(T36&lt;=1,0.4,0.2))))</f>
        <v>#VALUE!</v>
      </c>
      <c r="T36" s="308" t="e">
        <f>IF(U36=W36,X42,X43)</f>
        <v>#VALUE!</v>
      </c>
      <c r="U36" s="313" t="str">
        <f>メイン!C43</f>
        <v>標準計算</v>
      </c>
      <c r="V36" s="314" t="s">
        <v>770</v>
      </c>
      <c r="W36" s="313" t="s">
        <v>456</v>
      </c>
      <c r="X36" s="313" t="s">
        <v>642</v>
      </c>
      <c r="Y36" s="308"/>
      <c r="Z36" s="308"/>
      <c r="AA36" s="236"/>
      <c r="AB36" s="236"/>
    </row>
    <row r="37" spans="1:35" s="154" customFormat="1" ht="15" customHeight="1">
      <c r="A37" s="247"/>
      <c r="B37" s="201"/>
      <c r="H37" s="3291" t="str">
        <f>IF(U36=W36,X36,X37)</f>
        <v>このグラフは、LR3中の「地球温暖化への配慮」の内容を、一般的な建物（参照値）と比べたライフサイクルCO2 排出量の目安で示したものです</v>
      </c>
      <c r="I37" s="3292"/>
      <c r="J37" s="3292"/>
      <c r="K37" s="3293"/>
      <c r="L37" s="296"/>
      <c r="M37" s="276"/>
      <c r="N37" s="315"/>
      <c r="O37" s="277"/>
      <c r="R37" s="191" t="s">
        <v>1433</v>
      </c>
      <c r="S37" s="242" t="e">
        <f>1-S36</f>
        <v>#VALUE!</v>
      </c>
      <c r="T37" s="308"/>
      <c r="U37" s="313" t="s">
        <v>2113</v>
      </c>
      <c r="V37" s="308" t="str">
        <f>IF(U36=W37,V36,"")</f>
        <v/>
      </c>
      <c r="W37" s="313" t="s">
        <v>458</v>
      </c>
      <c r="X37" s="313" t="s">
        <v>725</v>
      </c>
      <c r="Y37" s="308"/>
      <c r="Z37" s="308"/>
      <c r="AA37" s="236"/>
      <c r="AB37" s="236"/>
    </row>
    <row r="38" spans="1:35" s="154" customFormat="1" ht="15" customHeight="1">
      <c r="A38" s="247"/>
      <c r="B38" s="201"/>
      <c r="C38" s="316"/>
      <c r="H38" s="3291"/>
      <c r="I38" s="3292"/>
      <c r="J38" s="3292"/>
      <c r="K38" s="3293"/>
      <c r="L38" s="293"/>
      <c r="M38" s="317"/>
      <c r="N38" s="276"/>
      <c r="O38" s="277"/>
      <c r="AA38" s="236"/>
      <c r="AB38" s="236"/>
    </row>
    <row r="39" spans="1:35" s="154" customFormat="1" ht="15" customHeight="1" thickBot="1">
      <c r="A39" s="247"/>
      <c r="B39" s="318"/>
      <c r="C39" s="253"/>
      <c r="D39" s="253"/>
      <c r="E39" s="253"/>
      <c r="F39" s="253"/>
      <c r="G39" s="253"/>
      <c r="H39" s="3294"/>
      <c r="I39" s="3295"/>
      <c r="J39" s="3295"/>
      <c r="K39" s="3296"/>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13.998000000000001</v>
      </c>
      <c r="T40" s="332">
        <f>IF($U$36=$W$36,'条件(標準)'!$D34,'条件(個別)'!$D34)</f>
        <v>16.21</v>
      </c>
      <c r="U40" s="332" t="e">
        <f>IF($U$36=$W$36,'条件(標準)'!$D46,'条件(個別)'!$D46)</f>
        <v>#VALUE!</v>
      </c>
      <c r="V40" s="333"/>
      <c r="W40" s="333"/>
      <c r="X40" s="334">
        <v>1</v>
      </c>
      <c r="Y40" s="188" t="e">
        <f>IF(COUNTIF(S40:W40,Z41)&gt;0,Z41,SUM(S40:W40))</f>
        <v>#VALUE!</v>
      </c>
      <c r="AA40" s="335"/>
    </row>
    <row r="41" spans="1:35" s="154" customFormat="1" ht="18.75">
      <c r="A41" s="144"/>
      <c r="B41" s="336" t="s">
        <v>730</v>
      </c>
      <c r="C41" s="337"/>
      <c r="D41" s="337"/>
      <c r="E41" s="338"/>
      <c r="F41" s="337"/>
      <c r="G41" s="337"/>
      <c r="H41" s="337"/>
      <c r="I41" s="337"/>
      <c r="J41" s="337"/>
      <c r="K41" s="339"/>
      <c r="L41" s="340"/>
      <c r="M41" s="341" t="s">
        <v>731</v>
      </c>
      <c r="N41" s="342">
        <f>スコア!T8</f>
        <v>2.9</v>
      </c>
      <c r="O41" s="343"/>
      <c r="P41" s="144"/>
      <c r="Q41" s="144"/>
      <c r="R41" s="188" t="s">
        <v>732</v>
      </c>
      <c r="S41" s="332">
        <f>IF($U$36=$W$36,'条件(標準)'!$E9,'条件(個別)'!$E9)</f>
        <v>13.998000000000001</v>
      </c>
      <c r="T41" s="332">
        <f>IF($U$36=$W$36,'条件(標準)'!$E34,'条件(個別)'!$E34)</f>
        <v>16.21</v>
      </c>
      <c r="U41" s="332" t="e">
        <f>IF($U$36=$W$36,'条件(標準)'!$E46,'条件(個別)'!$E46)</f>
        <v>#VALUE!</v>
      </c>
      <c r="V41" s="333"/>
      <c r="W41" s="333"/>
      <c r="X41" s="334" t="e">
        <f>IF(OR(Y40=Z41,Y41=Z41),Z41,Y41/Y40)</f>
        <v>#VALUE!</v>
      </c>
      <c r="Y41" s="188" t="e">
        <f>IF(COUNTIF(S41:W41,Z41)&gt;0,Z41,SUM(S41:W41))</f>
        <v>#VALUE!</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t="e">
        <f>IF($U$36=$W$36,'条件(標準)'!E9+'条件(標準)'!E34+'条件(標準)'!E47,'条件(個別)'!E9+'条件(個別)'!E34+'条件(個別)'!E47)</f>
        <v>#VALUE!</v>
      </c>
      <c r="W42" s="333"/>
      <c r="X42" s="334" t="e">
        <f>IF(OR(Y40=Z42,Y42=Z42),Z42,Y42/Y40)</f>
        <v>#VALUE!</v>
      </c>
      <c r="Y42" s="188" t="e">
        <f>IF(COUNTIF(S42:W42,Z42)&gt;0,Z42,SUM(S42:W42))</f>
        <v>#VALUE!</v>
      </c>
      <c r="Z42" s="154" t="str">
        <f>CO2計算!R115</f>
        <v>N.A.</v>
      </c>
      <c r="AA42" s="335"/>
    </row>
    <row r="43" spans="1:35" s="154" customFormat="1" ht="15" customHeight="1">
      <c r="A43" s="144"/>
      <c r="B43" s="201"/>
      <c r="C43" s="348"/>
      <c r="D43" s="349"/>
      <c r="E43" s="350"/>
      <c r="G43" s="345">
        <f>S46</f>
        <v>2.9</v>
      </c>
      <c r="I43" s="350"/>
      <c r="K43" s="345">
        <f>V46</f>
        <v>2.9</v>
      </c>
      <c r="M43" s="351"/>
      <c r="N43" s="350"/>
      <c r="O43" s="352">
        <f>Y46</f>
        <v>3</v>
      </c>
      <c r="P43" s="144"/>
      <c r="Q43" s="144"/>
      <c r="R43" s="188" t="s">
        <v>734</v>
      </c>
      <c r="S43" s="332"/>
      <c r="T43" s="332"/>
      <c r="U43" s="332"/>
      <c r="V43" s="347"/>
      <c r="W43" s="353" t="e">
        <f>IF($U$36=$W$36,'条件(標準)'!E9+'条件(標準)'!E34+'条件(標準)'!E52,'条件(個別)'!E9+'条件(個別)'!E34+'条件(個別)'!E52)</f>
        <v>#VALUE!</v>
      </c>
      <c r="X43" s="334" t="e">
        <f>IF(OR(Y40=Z43,Y43=Z43),Z43,Y43/Y40)</f>
        <v>#VALUE!</v>
      </c>
      <c r="Y43" s="188" t="e">
        <f>IF(COUNTIF(S43:W43,Z43)&gt;0,Z43,SUM(S43:W43))</f>
        <v>#VALUE!</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2262</v>
      </c>
      <c r="T45" s="191" t="s">
        <v>735</v>
      </c>
      <c r="U45" s="191"/>
      <c r="V45" s="191" t="s">
        <v>2262</v>
      </c>
      <c r="W45" s="191" t="s">
        <v>735</v>
      </c>
      <c r="X45" s="191"/>
      <c r="Y45" s="191" t="s">
        <v>2262</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f>スコア!T9</f>
        <v>2.9</v>
      </c>
      <c r="T46" s="191">
        <f>スコア!AC9</f>
        <v>2.988</v>
      </c>
      <c r="U46" s="189" t="s">
        <v>1440</v>
      </c>
      <c r="V46" s="357">
        <f>スコア!T62</f>
        <v>2.9</v>
      </c>
      <c r="W46" s="191">
        <f>スコア!AC62</f>
        <v>2.96</v>
      </c>
      <c r="X46" s="355" t="s">
        <v>942</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f>スコア!T10</f>
        <v>2.9</v>
      </c>
      <c r="T49" s="191" t="str">
        <f>IF(S49=0,"N.A.","")</f>
        <v/>
      </c>
      <c r="U49" s="189" t="s">
        <v>944</v>
      </c>
      <c r="V49" s="357">
        <f>スコア!T63</f>
        <v>2.9</v>
      </c>
      <c r="W49" s="191" t="str">
        <f>IF(V49=0,"N.A.","")</f>
        <v/>
      </c>
      <c r="X49" s="360" t="s">
        <v>945</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f>スコア!T20</f>
        <v>3</v>
      </c>
      <c r="T50" s="191" t="str">
        <f>IF(S50=0,"N.A.","")</f>
        <v/>
      </c>
      <c r="U50" s="189" t="s">
        <v>947</v>
      </c>
      <c r="V50" s="357">
        <f>スコア!T78</f>
        <v>3</v>
      </c>
      <c r="W50" s="191" t="str">
        <f>IF(V50=0,"N.A.","")</f>
        <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f>スコア!T35</f>
        <v>3</v>
      </c>
      <c r="T51" s="191" t="str">
        <f>IF(S51=0,"N.A.","")</f>
        <v/>
      </c>
      <c r="U51" s="189" t="s">
        <v>949</v>
      </c>
      <c r="V51" s="357">
        <f>スコア!T100</f>
        <v>3</v>
      </c>
      <c r="W51" s="191" t="str">
        <f>IF(V51=0,"N.A.","")</f>
        <v/>
      </c>
      <c r="X51" s="360" t="s">
        <v>88</v>
      </c>
      <c r="Y51" s="357">
        <f>スコア!T117</f>
        <v>3</v>
      </c>
      <c r="Z51" s="191" t="str">
        <f>IF(Y51=0,"N.A.","")</f>
        <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#VALUE!</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v>
      </c>
      <c r="I54" s="350"/>
      <c r="K54" s="345">
        <f>V57</f>
        <v>3</v>
      </c>
      <c r="L54" s="350"/>
      <c r="N54" s="376"/>
      <c r="O54" s="352" t="e">
        <f>Y57</f>
        <v>#VALUE!</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f>スコア!T122</f>
        <v>3</v>
      </c>
      <c r="T57" s="191">
        <f>スコア!AC122</f>
        <v>3</v>
      </c>
      <c r="U57" s="189" t="s">
        <v>90</v>
      </c>
      <c r="V57" s="381">
        <f>スコア!T145</f>
        <v>3</v>
      </c>
      <c r="W57" s="191">
        <f>スコア!AC145</f>
        <v>3.0466666666666669</v>
      </c>
      <c r="X57" s="189" t="s">
        <v>2389</v>
      </c>
      <c r="Y57" s="357" t="e">
        <f>スコア!T172</f>
        <v>#VALUE!</v>
      </c>
      <c r="Z57" s="191" t="e">
        <f>スコア!AC172</f>
        <v>#VALUE!</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2390</v>
      </c>
      <c r="S60" s="384">
        <f>スコア!T123</f>
        <v>0</v>
      </c>
      <c r="T60" s="191" t="str">
        <f>IF(S60=0,"N.A.","")</f>
        <v>N.A.</v>
      </c>
      <c r="U60" s="385" t="s">
        <v>2391</v>
      </c>
      <c r="V60" s="357">
        <f>スコア!T146</f>
        <v>3</v>
      </c>
      <c r="W60" s="191" t="str">
        <f>IF(V60=0,"N.A.","")</f>
        <v/>
      </c>
      <c r="X60" s="189" t="s">
        <v>2626</v>
      </c>
      <c r="Y60" s="357" t="e">
        <f>スコア!T173</f>
        <v>#VALUE!</v>
      </c>
      <c r="Z60" s="191" t="e">
        <f>IF(Y60=0,"N.A.","")</f>
        <v>#VALUE!</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2627</v>
      </c>
      <c r="S61" s="384">
        <f>スコア!T124</f>
        <v>3</v>
      </c>
      <c r="T61" s="191" t="str">
        <f>IF(S61=0,"N.A.","")</f>
        <v/>
      </c>
      <c r="U61" s="385" t="s">
        <v>2628</v>
      </c>
      <c r="V61" s="357">
        <f>スコア!T151</f>
        <v>3</v>
      </c>
      <c r="W61" s="191" t="str">
        <f>IF(V61=0,"N.A.","")</f>
        <v/>
      </c>
      <c r="X61" s="189" t="s">
        <v>2629</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2630</v>
      </c>
      <c r="S62" s="384">
        <f>スコア!T129</f>
        <v>3</v>
      </c>
      <c r="T62" s="191" t="str">
        <f>IF(S62=0,"N.A.","")</f>
        <v/>
      </c>
      <c r="U62" s="393" t="s">
        <v>2631</v>
      </c>
      <c r="V62" s="394">
        <f>スコア!T166</f>
        <v>3.2</v>
      </c>
      <c r="W62" s="191" t="str">
        <f>IF(V62=0,"N.A.","")</f>
        <v/>
      </c>
      <c r="X62" s="189" t="s">
        <v>2632</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2633</v>
      </c>
      <c r="S63" s="384">
        <f>スコア!T138</f>
        <v>3</v>
      </c>
      <c r="T63" s="191" t="str">
        <f>IF(S63=0,"N.A.","")</f>
        <v/>
      </c>
      <c r="U63" s="236"/>
      <c r="V63" s="397"/>
      <c r="W63" s="397"/>
      <c r="X63" s="397"/>
      <c r="Y63" s="397"/>
      <c r="Z63" s="397"/>
      <c r="AA63" s="236"/>
      <c r="AB63" s="236"/>
    </row>
    <row r="64" spans="1:28" s="154" customFormat="1" ht="15.75">
      <c r="A64" s="144"/>
      <c r="B64" s="264" t="s">
        <v>2634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2635</v>
      </c>
      <c r="C65" s="405"/>
      <c r="D65" s="406"/>
      <c r="E65" s="405"/>
      <c r="F65" s="405"/>
      <c r="G65" s="405"/>
      <c r="H65" s="405"/>
      <c r="I65" s="405"/>
      <c r="J65" s="405"/>
      <c r="K65" s="407"/>
      <c r="L65" s="408" t="s">
        <v>2636</v>
      </c>
      <c r="M65" s="409"/>
      <c r="N65" s="409"/>
      <c r="O65" s="410"/>
      <c r="P65" s="144"/>
      <c r="Q65" s="247"/>
      <c r="R65" s="411"/>
      <c r="S65" s="236"/>
      <c r="T65" s="236"/>
      <c r="U65" s="236"/>
      <c r="V65" s="397"/>
      <c r="W65" s="397"/>
      <c r="X65" s="397"/>
      <c r="Y65" s="397"/>
      <c r="Z65" s="397"/>
      <c r="AA65" s="236"/>
      <c r="AB65" s="236"/>
    </row>
    <row r="66" spans="1:28" s="154" customFormat="1" ht="52.5" customHeight="1">
      <c r="A66" s="144"/>
      <c r="B66" s="3273" t="str">
        <f>IF(配慮!D4=配慮!C4,"",配慮!D4)</f>
        <v/>
      </c>
      <c r="C66" s="3274"/>
      <c r="D66" s="3274"/>
      <c r="E66" s="3274"/>
      <c r="F66" s="3274"/>
      <c r="G66" s="3274"/>
      <c r="H66" s="3274"/>
      <c r="I66" s="3274"/>
      <c r="J66" s="3274"/>
      <c r="K66" s="3275"/>
      <c r="L66" s="3276" t="str">
        <f>IF(配慮!D11=配慮!C11,"",配慮!D11)</f>
        <v/>
      </c>
      <c r="M66" s="3277"/>
      <c r="N66" s="3277"/>
      <c r="O66" s="3278"/>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279" t="str">
        <f>IF(配慮!D5=配慮!C5,"",配慮!D5)</f>
        <v/>
      </c>
      <c r="C68" s="3277"/>
      <c r="D68" s="3277"/>
      <c r="E68" s="3277"/>
      <c r="F68" s="3277"/>
      <c r="G68" s="3280"/>
      <c r="H68" s="3281" t="str">
        <f>IF(配慮!D6=配慮!C6,"",配慮!D6)</f>
        <v/>
      </c>
      <c r="I68" s="3277"/>
      <c r="J68" s="3277"/>
      <c r="K68" s="3280"/>
      <c r="L68" s="3281" t="str">
        <f>IF(配慮!D7=配慮!C7,"",配慮!D7)</f>
        <v/>
      </c>
      <c r="M68" s="3277"/>
      <c r="N68" s="3277"/>
      <c r="O68" s="3278"/>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258" t="str">
        <f>IF(配慮!D8=配慮!C8,"",配慮!D8)</f>
        <v/>
      </c>
      <c r="C70" s="3259"/>
      <c r="D70" s="3259"/>
      <c r="E70" s="3259"/>
      <c r="F70" s="3259"/>
      <c r="G70" s="3260"/>
      <c r="H70" s="3261" t="str">
        <f>IF(配慮!C9=配慮!D9,"",配慮!D9)</f>
        <v/>
      </c>
      <c r="I70" s="3259"/>
      <c r="J70" s="3259"/>
      <c r="K70" s="3260"/>
      <c r="L70" s="3261" t="str">
        <f>IF(配慮!D10=配慮!C10,"",配慮!D10)</f>
        <v/>
      </c>
      <c r="M70" s="3259"/>
      <c r="N70" s="3259"/>
      <c r="O70" s="3262"/>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2637</v>
      </c>
      <c r="C72" s="428"/>
      <c r="D72" s="429"/>
      <c r="E72" s="428"/>
      <c r="F72" s="428"/>
      <c r="G72" s="428"/>
      <c r="H72" s="428"/>
      <c r="I72" s="428"/>
      <c r="J72" s="430"/>
      <c r="K72" s="431"/>
      <c r="L72" s="431"/>
      <c r="M72" s="431"/>
      <c r="N72" s="432"/>
      <c r="O72" s="433" t="s">
        <v>2638</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2763</v>
      </c>
      <c r="D90" s="527" t="s">
        <v>2571</v>
      </c>
      <c r="E90" s="528"/>
      <c r="F90" s="529"/>
      <c r="G90" s="529"/>
      <c r="H90" s="529"/>
      <c r="I90" s="530"/>
      <c r="J90" s="530"/>
      <c r="K90" s="531"/>
      <c r="L90" s="531"/>
      <c r="M90" s="186"/>
      <c r="N90" s="186"/>
      <c r="O90" s="532"/>
      <c r="P90" s="247"/>
      <c r="Q90" s="247"/>
    </row>
    <row r="91" spans="1:47" ht="14.25" hidden="1">
      <c r="B91" s="534"/>
      <c r="C91" s="518" t="s">
        <v>2572</v>
      </c>
      <c r="D91" s="535" t="s">
        <v>2573</v>
      </c>
      <c r="E91" s="536"/>
      <c r="G91" s="537"/>
      <c r="O91" s="532"/>
    </row>
    <row r="92" spans="1:47" ht="14.25" hidden="1">
      <c r="B92" s="534"/>
      <c r="C92" s="518"/>
      <c r="D92" s="535" t="s">
        <v>2574</v>
      </c>
      <c r="E92" s="536"/>
      <c r="G92" s="537"/>
      <c r="O92" s="532"/>
    </row>
    <row r="93" spans="1:47" ht="14.25" hidden="1">
      <c r="B93" s="538"/>
      <c r="C93" s="539" t="s">
        <v>2575</v>
      </c>
      <c r="D93" s="540" t="s">
        <v>1923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algorithmName="SHA-512" hashValue="Kk3KTgYtkswtSTcVb7emrWwRl39D812PxksPIsnnNnyKDztdCVt2SGkLRQtdjy9EQKNdzdkqTjom5ressKPnfQ==" saltValue="ZTO3iA9SuRJVDV0nKgw/Bg==" spinCount="100000" sheet="1" objects="1" scenarios="1"/>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CH123"/>
  <sheetViews>
    <sheetView showGridLines="0" topLeftCell="A7" zoomScale="80" zoomScaleNormal="80" workbookViewId="0">
      <selection activeCell="C6" sqref="C6"/>
    </sheetView>
  </sheetViews>
  <sheetFormatPr defaultColWidth="0" defaultRowHeight="0" customHeight="1" zeroHeight="1"/>
  <cols>
    <col min="1" max="1" width="2.875" style="91" customWidth="1"/>
    <col min="2" max="2" width="8.375" style="91" customWidth="1"/>
    <col min="3" max="5" width="8.625" style="91" customWidth="1"/>
    <col min="6" max="6" width="2.75" style="91" customWidth="1"/>
    <col min="7" max="8" width="9.75" style="91" customWidth="1"/>
    <col min="9" max="9" width="11.375" style="91" customWidth="1"/>
    <col min="10" max="10" width="15.375" style="91" customWidth="1"/>
    <col min="11" max="11" width="11.375" style="91" customWidth="1"/>
    <col min="12" max="13" width="7.75" style="91" customWidth="1"/>
    <col min="14" max="14" width="11.375" style="91" customWidth="1"/>
    <col min="15" max="15" width="5.625" style="91" customWidth="1"/>
    <col min="16" max="16" width="10.125" style="91" customWidth="1"/>
    <col min="17" max="17" width="2.625" style="91" customWidth="1"/>
    <col min="18" max="18" width="18.625" style="472" hidden="1" customWidth="1"/>
    <col min="19" max="19" width="8.875" style="3059" hidden="1" customWidth="1"/>
    <col min="20" max="20" width="6.375" style="3059" hidden="1" customWidth="1"/>
    <col min="21" max="21" width="9.375" style="3059" hidden="1" customWidth="1"/>
    <col min="22" max="22" width="10" style="3059" hidden="1" customWidth="1"/>
    <col min="23" max="23" width="9.375" style="3059" hidden="1" customWidth="1"/>
    <col min="24" max="24" width="8" style="3059" hidden="1" customWidth="1"/>
    <col min="25" max="25" width="3.375" style="3059" hidden="1" customWidth="1"/>
    <col min="26" max="29" width="7.75" style="3059" hidden="1" customWidth="1"/>
    <col min="30" max="30" width="7.875" style="3059" hidden="1" customWidth="1"/>
    <col min="31" max="31" width="29.5" style="3059" hidden="1" customWidth="1"/>
    <col min="32" max="32" width="7.75" style="3059" hidden="1" customWidth="1"/>
    <col min="33" max="64" width="3.75" style="3059" hidden="1" customWidth="1"/>
    <col min="65" max="67" width="3.75" style="2687" hidden="1" customWidth="1"/>
    <col min="68" max="68" width="5.125" style="2687" hidden="1" customWidth="1"/>
    <col min="69" max="69" width="7.125" style="2687" hidden="1" customWidth="1"/>
    <col min="70" max="70" width="30.75" style="2687" hidden="1" customWidth="1"/>
    <col min="71" max="79" width="7.375" style="2687" hidden="1" customWidth="1"/>
    <col min="80" max="86" width="9" style="2687" hidden="1" customWidth="1"/>
    <col min="87" max="16384" width="9" style="3059" hidden="1"/>
  </cols>
  <sheetData>
    <row r="1" spans="1:29" ht="24.75" customHeight="1">
      <c r="A1" s="3114"/>
      <c r="B1" s="3114"/>
      <c r="C1" s="3114"/>
      <c r="D1" s="3114"/>
      <c r="E1" s="3114"/>
      <c r="F1" s="3114"/>
      <c r="G1" s="3114"/>
      <c r="H1" s="3114"/>
      <c r="I1" s="3114"/>
      <c r="J1" s="3114"/>
      <c r="K1" s="3114"/>
      <c r="L1" s="3114"/>
      <c r="M1" s="3114"/>
      <c r="N1" s="3115"/>
      <c r="O1" s="3115"/>
      <c r="P1" s="3116"/>
      <c r="Q1" s="3117"/>
      <c r="R1" s="3118"/>
      <c r="S1" s="3119"/>
      <c r="T1" s="3119"/>
      <c r="U1" s="3119"/>
      <c r="X1" s="3119"/>
    </row>
    <row r="2" spans="1:29" ht="24.75" customHeight="1">
      <c r="A2" s="3114"/>
      <c r="B2" s="3114"/>
      <c r="C2" s="3114"/>
      <c r="D2" s="3114"/>
      <c r="E2" s="3114"/>
      <c r="F2" s="3114"/>
      <c r="G2" s="3114"/>
      <c r="H2" s="3114"/>
      <c r="I2" s="3114"/>
      <c r="J2" s="3114"/>
      <c r="K2" s="3114"/>
      <c r="L2" s="3114"/>
      <c r="M2" s="3114"/>
      <c r="N2" s="3115"/>
      <c r="O2" s="3115"/>
      <c r="P2" s="3116"/>
      <c r="Q2" s="3117"/>
      <c r="R2" s="3118" t="s">
        <v>3612</v>
      </c>
      <c r="S2" s="3119" t="s">
        <v>3613</v>
      </c>
      <c r="T2" s="3119" t="s">
        <v>3614</v>
      </c>
      <c r="U2" s="3119"/>
      <c r="V2" s="3060" t="s">
        <v>3615</v>
      </c>
      <c r="W2" s="3060" t="e">
        <f>IF(L8="",0,IF(L8="S",5,IF(L8="A",4,IF(L8="B+",3,IF(L8="B-",2,1)))))</f>
        <v>#VALUE!</v>
      </c>
      <c r="X2" s="3120" t="e">
        <f>W2-5</f>
        <v>#VALUE!</v>
      </c>
    </row>
    <row r="3" spans="1:29" ht="24.75" customHeight="1">
      <c r="A3" s="3114"/>
      <c r="B3" s="3114"/>
      <c r="C3" s="3114"/>
      <c r="D3" s="3114"/>
      <c r="E3" s="3114"/>
      <c r="F3" s="3114"/>
      <c r="G3" s="3114"/>
      <c r="H3" s="3114"/>
      <c r="I3" s="3114"/>
      <c r="J3" s="3114"/>
      <c r="K3" s="3114"/>
      <c r="L3" s="3114"/>
      <c r="M3" s="3114"/>
      <c r="N3" s="3115"/>
      <c r="O3" s="3115"/>
      <c r="P3" s="3116"/>
      <c r="Q3" s="3117"/>
      <c r="R3" s="3118" t="s">
        <v>768</v>
      </c>
      <c r="S3" s="3119" t="s">
        <v>768</v>
      </c>
      <c r="T3" s="3119" t="s">
        <v>3616</v>
      </c>
      <c r="U3" s="3119"/>
      <c r="X3" s="3119"/>
    </row>
    <row r="4" spans="1:29" ht="24.75" customHeight="1">
      <c r="A4" s="3114"/>
      <c r="B4" s="3114"/>
      <c r="C4" s="3114"/>
      <c r="D4" s="3114"/>
      <c r="E4" s="3114"/>
      <c r="F4" s="3114"/>
      <c r="G4" s="3114"/>
      <c r="H4" s="3114"/>
      <c r="I4" s="3114"/>
      <c r="J4" s="3114"/>
      <c r="K4" s="3114"/>
      <c r="L4" s="3114"/>
      <c r="M4" s="3114"/>
      <c r="N4" s="3115"/>
      <c r="O4" s="3115"/>
      <c r="P4" s="3116"/>
      <c r="Q4" s="3117"/>
      <c r="R4" s="3118" t="s">
        <v>766</v>
      </c>
      <c r="S4" s="3119" t="s">
        <v>766</v>
      </c>
      <c r="T4" s="3119" t="s">
        <v>3617</v>
      </c>
      <c r="U4" s="3119"/>
      <c r="V4" s="3060" t="s">
        <v>3618</v>
      </c>
      <c r="W4" s="3121">
        <v>350</v>
      </c>
      <c r="X4" s="3119" t="s">
        <v>3619</v>
      </c>
    </row>
    <row r="5" spans="1:29" ht="24.75" customHeight="1">
      <c r="A5" s="3114"/>
      <c r="B5" s="3114"/>
      <c r="C5" s="3114"/>
      <c r="D5" s="3114"/>
      <c r="E5" s="3114"/>
      <c r="F5" s="3114"/>
      <c r="G5" s="3114"/>
      <c r="H5" s="3114"/>
      <c r="I5" s="3114"/>
      <c r="J5" s="3114"/>
      <c r="K5" s="3114"/>
      <c r="L5" s="3114"/>
      <c r="M5" s="3114"/>
      <c r="N5" s="3115"/>
      <c r="O5" s="3115"/>
      <c r="P5" s="3116"/>
      <c r="Q5" s="3117"/>
      <c r="R5" s="3118" t="s">
        <v>765</v>
      </c>
      <c r="S5" s="3119" t="s">
        <v>3612</v>
      </c>
      <c r="T5" s="3119" t="s">
        <v>3620</v>
      </c>
      <c r="U5" s="3119"/>
      <c r="W5" s="3122" t="s">
        <v>3621</v>
      </c>
      <c r="X5" s="3119"/>
    </row>
    <row r="6" spans="1:29" ht="24.75" customHeight="1" thickBot="1">
      <c r="A6" s="3114"/>
      <c r="B6" s="3114"/>
      <c r="C6" s="3061"/>
      <c r="D6" s="3061"/>
      <c r="E6" s="3061"/>
      <c r="F6" s="3061"/>
      <c r="G6" s="3123"/>
      <c r="H6" s="1523"/>
      <c r="I6" s="3124" t="s">
        <v>3622</v>
      </c>
      <c r="J6" s="3125"/>
      <c r="K6" s="3126" t="str">
        <f>メイン!C6</f>
        <v>CASBEE-建築(新築)2016年版</v>
      </c>
      <c r="L6" s="3127"/>
      <c r="M6" s="3128" t="s">
        <v>3623</v>
      </c>
      <c r="N6" s="3300" t="str">
        <f>メイン!C5</f>
        <v>CASBEE-BD_NC_2016(v3.0)</v>
      </c>
      <c r="O6" s="3301"/>
      <c r="P6" s="3301"/>
      <c r="Q6" s="3117"/>
      <c r="R6" s="3118" t="s">
        <v>764</v>
      </c>
      <c r="S6" s="3119" t="s">
        <v>3624</v>
      </c>
      <c r="T6" s="3119" t="s">
        <v>3625</v>
      </c>
      <c r="U6" s="3119"/>
      <c r="X6" s="3119"/>
    </row>
    <row r="7" spans="1:29" ht="24" customHeight="1" thickBot="1">
      <c r="A7" s="3114"/>
      <c r="B7" s="3129" t="s">
        <v>3626</v>
      </c>
      <c r="C7" s="3130"/>
      <c r="D7" s="3130"/>
      <c r="E7" s="3130"/>
      <c r="F7" s="3130"/>
      <c r="G7" s="3130"/>
      <c r="H7" s="3130"/>
      <c r="I7" s="3130"/>
      <c r="J7" s="3130"/>
      <c r="K7" s="3130"/>
      <c r="L7" s="3130"/>
      <c r="M7" s="3130"/>
      <c r="N7" s="3130"/>
      <c r="O7" s="3130"/>
      <c r="P7" s="3131"/>
      <c r="Q7" s="3117"/>
      <c r="R7" s="3119"/>
      <c r="S7" s="3132"/>
      <c r="T7" s="3119"/>
    </row>
    <row r="8" spans="1:29" ht="38.25" customHeight="1" thickBot="1">
      <c r="A8" s="3114"/>
      <c r="B8" s="3302" t="s">
        <v>3627</v>
      </c>
      <c r="C8" s="3303"/>
      <c r="D8" s="3304" t="str">
        <f>メイン!C11</f>
        <v>○○ビル</v>
      </c>
      <c r="E8" s="3305"/>
      <c r="F8" s="3305"/>
      <c r="G8" s="3305"/>
      <c r="H8" s="3305"/>
      <c r="I8" s="3305"/>
      <c r="J8" s="3306" t="s">
        <v>3628</v>
      </c>
      <c r="K8" s="3307"/>
      <c r="L8" s="3133" t="e">
        <f>IF(結果!S12&gt;=3,"S",IF(結果!S12&gt;=1.5,"A",IF(結果!S12&gt;=1,"B+",IF(結果!S12&gt;=0.5,"B-","C"))))</f>
        <v>#VALUE!</v>
      </c>
      <c r="M8" s="3308" t="e">
        <f>VLOOKUP(L8,S2:T6,2)</f>
        <v>#VALUE!</v>
      </c>
      <c r="N8" s="3308"/>
      <c r="O8" s="3308"/>
      <c r="P8" s="3309"/>
      <c r="Q8" s="3117"/>
      <c r="R8" s="3120" t="s">
        <v>762</v>
      </c>
      <c r="S8" s="3134">
        <v>1</v>
      </c>
      <c r="T8" s="3119"/>
      <c r="V8" s="3059" t="s">
        <v>3629</v>
      </c>
      <c r="W8" s="3059" t="s">
        <v>3630</v>
      </c>
      <c r="X8" s="3059" t="s">
        <v>3631</v>
      </c>
      <c r="Z8" s="2687"/>
      <c r="AA8" s="2687"/>
      <c r="AB8" s="2687"/>
      <c r="AC8" s="2687"/>
    </row>
    <row r="9" spans="1:29" ht="14.25" thickBot="1">
      <c r="A9" s="3114"/>
      <c r="B9" s="3114"/>
      <c r="C9" s="3114"/>
      <c r="D9" s="3114"/>
      <c r="E9" s="3114"/>
      <c r="F9" s="3114"/>
      <c r="G9" s="3114"/>
      <c r="H9" s="3114"/>
      <c r="I9" s="3114"/>
      <c r="J9" s="3114"/>
      <c r="K9" s="3114"/>
      <c r="L9" s="3114"/>
      <c r="M9" s="3114"/>
      <c r="N9" s="3115"/>
      <c r="O9" s="3115"/>
      <c r="P9" s="3116"/>
      <c r="Q9" s="3117"/>
      <c r="R9" s="3119"/>
      <c r="S9" s="3132"/>
      <c r="T9" s="3119"/>
      <c r="U9" s="3120"/>
      <c r="V9" s="3120">
        <v>4</v>
      </c>
      <c r="W9" s="3120">
        <v>3</v>
      </c>
      <c r="X9" s="3120">
        <v>3</v>
      </c>
      <c r="Z9" s="2687"/>
      <c r="AA9" s="2687"/>
      <c r="AB9" s="2687"/>
      <c r="AC9" s="2687"/>
    </row>
    <row r="10" spans="1:29" ht="24" customHeight="1" thickBot="1">
      <c r="A10" s="3114"/>
      <c r="B10" s="3135" t="s">
        <v>3632</v>
      </c>
      <c r="C10" s="3136"/>
      <c r="D10" s="265"/>
      <c r="E10" s="267"/>
      <c r="F10" s="267"/>
      <c r="G10" s="267"/>
      <c r="H10" s="267"/>
      <c r="I10" s="267"/>
      <c r="J10" s="267"/>
      <c r="K10" s="267"/>
      <c r="L10" s="267"/>
      <c r="M10" s="267"/>
      <c r="N10" s="270"/>
      <c r="O10" s="270"/>
      <c r="P10" s="3137"/>
      <c r="Q10" s="3117"/>
      <c r="R10" s="3120" t="s">
        <v>3633</v>
      </c>
      <c r="S10" s="3120"/>
      <c r="T10" s="3119"/>
      <c r="U10" s="3120"/>
      <c r="V10" s="3120" t="s">
        <v>3634</v>
      </c>
      <c r="W10" s="3120" t="s">
        <v>3634</v>
      </c>
      <c r="X10" s="3120" t="s">
        <v>3635</v>
      </c>
      <c r="Z10" s="2687"/>
      <c r="AA10" s="2687"/>
      <c r="AB10" s="2687"/>
      <c r="AC10" s="2687"/>
    </row>
    <row r="11" spans="1:29" ht="18.75" customHeight="1">
      <c r="A11" s="3061"/>
      <c r="B11" s="3138" t="s">
        <v>3636</v>
      </c>
      <c r="C11" s="3139"/>
      <c r="D11" s="3140"/>
      <c r="E11" s="3141"/>
      <c r="F11" s="3142"/>
      <c r="G11" s="3143" t="s">
        <v>3637</v>
      </c>
      <c r="H11" s="3144"/>
      <c r="I11" s="3144"/>
      <c r="J11" s="3141"/>
      <c r="K11" s="3141"/>
      <c r="L11" s="3145"/>
      <c r="M11" s="3297" t="s">
        <v>3638</v>
      </c>
      <c r="N11" s="3298"/>
      <c r="O11" s="3298"/>
      <c r="P11" s="3299"/>
      <c r="Q11" s="3061"/>
      <c r="R11" s="3060" t="str">
        <f>B12&amp;C12</f>
        <v>K1　地球環境にやさしい
社会をつくる</v>
      </c>
      <c r="S11" s="3146">
        <f>ROUNDDOWN(AVERAGE(S16,S17),1)</f>
        <v>3</v>
      </c>
      <c r="T11" s="3147">
        <f>S11-5</f>
        <v>-2</v>
      </c>
      <c r="U11" s="3148" t="str">
        <f>R11</f>
        <v>K1　地球環境にやさしい
社会をつくる</v>
      </c>
      <c r="V11" s="3120">
        <f>IF(S11&gt;=$V$9,1,0)</f>
        <v>0</v>
      </c>
      <c r="W11" s="3120">
        <f>IF(S11&gt;=$W$9,1,0)</f>
        <v>1</v>
      </c>
      <c r="X11" s="3120">
        <f>IF(S11&lt;$X$9,1,0)</f>
        <v>0</v>
      </c>
      <c r="Z11" s="2687"/>
      <c r="AA11" s="2687"/>
      <c r="AB11" s="2687"/>
      <c r="AC11" s="2687"/>
    </row>
    <row r="12" spans="1:29" ht="56.25" customHeight="1">
      <c r="A12" s="3061"/>
      <c r="B12" s="3321" t="s">
        <v>3639</v>
      </c>
      <c r="C12" s="3323" t="s">
        <v>3640</v>
      </c>
      <c r="D12" s="3324"/>
      <c r="E12" s="3324"/>
      <c r="F12" s="3149"/>
      <c r="G12" s="3150"/>
      <c r="H12" s="3151"/>
      <c r="I12" s="3151"/>
      <c r="J12" s="3151"/>
      <c r="K12" s="3325" t="str">
        <f>IF(LEN(DBCS(ROUND(S11,1)))&lt;3,DBCS(ROUND(S11,1)) &amp;"．０",DBCS(ROUND(S11,1)))</f>
        <v>３．０</v>
      </c>
      <c r="L12" s="3327" t="s">
        <v>3641</v>
      </c>
      <c r="M12" s="2635"/>
      <c r="N12" s="3310"/>
      <c r="O12" s="3151"/>
      <c r="P12" s="3152"/>
      <c r="Q12" s="3061"/>
      <c r="R12" s="3060" t="str">
        <f>B14&amp;C14</f>
        <v>K2　うるおいのある
景観をつくる</v>
      </c>
      <c r="S12" s="3146">
        <f>ROUNDDOWN(AVERAGE(S18,S19),1)</f>
        <v>3</v>
      </c>
      <c r="T12" s="3147">
        <f>S12-5</f>
        <v>-2</v>
      </c>
      <c r="U12" s="3148" t="str">
        <f>R12</f>
        <v>K2　うるおいのある
景観をつくる</v>
      </c>
      <c r="V12" s="3120">
        <f>IF(S12&gt;=$V$9,1,0)</f>
        <v>0</v>
      </c>
      <c r="W12" s="3120">
        <f>IF(S12&gt;=$W$9,1,0)</f>
        <v>1</v>
      </c>
      <c r="X12" s="3120">
        <f>IF(S12&lt;$X$9,1,0)</f>
        <v>0</v>
      </c>
      <c r="Z12" s="2687"/>
      <c r="AA12" s="2687"/>
      <c r="AB12" s="2687"/>
      <c r="AC12" s="2687"/>
    </row>
    <row r="13" spans="1:29" ht="56.25" customHeight="1">
      <c r="A13" s="3061"/>
      <c r="B13" s="3322"/>
      <c r="C13" s="3324"/>
      <c r="D13" s="3324"/>
      <c r="E13" s="3324"/>
      <c r="F13" s="3149"/>
      <c r="G13" s="3150"/>
      <c r="H13" s="3151"/>
      <c r="I13" s="3151"/>
      <c r="J13" s="3153"/>
      <c r="K13" s="3326"/>
      <c r="L13" s="3328"/>
      <c r="M13" s="2635"/>
      <c r="N13" s="3311"/>
      <c r="O13" s="3153"/>
      <c r="P13" s="3154"/>
      <c r="Q13" s="3061"/>
      <c r="R13" s="3060" t="str">
        <f>B16&amp;C16</f>
        <v>K3　安全で健康な
生活環境をつくる</v>
      </c>
      <c r="S13" s="3146">
        <f>IF(S20=0,S21,ROUNDDOWN(AVERAGE(S20,S21),1))</f>
        <v>3</v>
      </c>
      <c r="T13" s="3147">
        <f>S13-5</f>
        <v>-2</v>
      </c>
      <c r="U13" s="3148" t="str">
        <f>R13</f>
        <v>K3　安全で健康な
生活環境をつくる</v>
      </c>
      <c r="V13" s="3120">
        <f>IF(S13&gt;=$V$9,1,0)</f>
        <v>0</v>
      </c>
      <c r="W13" s="3120">
        <f>IF(S13&gt;=$W$9,1,0)</f>
        <v>1</v>
      </c>
      <c r="X13" s="3120">
        <f>IF(S13&lt;$X$9,1,0)</f>
        <v>0</v>
      </c>
      <c r="Z13" s="2687"/>
      <c r="AA13" s="2687"/>
      <c r="AB13" s="2687"/>
      <c r="AC13" s="2687"/>
    </row>
    <row r="14" spans="1:29" ht="56.25" customHeight="1">
      <c r="A14" s="3061"/>
      <c r="B14" s="3329" t="s">
        <v>3642</v>
      </c>
      <c r="C14" s="3331" t="s">
        <v>3643</v>
      </c>
      <c r="D14" s="3332"/>
      <c r="E14" s="3332"/>
      <c r="F14" s="3155"/>
      <c r="G14" s="3156"/>
      <c r="H14" s="3157"/>
      <c r="I14" s="3157"/>
      <c r="J14" s="3157"/>
      <c r="K14" s="3334" t="str">
        <f>IF(LEN(DBCS(ROUND(S12,1)))&lt;3,DBCS(ROUND(S12,1)) &amp;"．０",DBCS(ROUND(S12,1)))</f>
        <v>３．０</v>
      </c>
      <c r="L14" s="3336" t="s">
        <v>3641</v>
      </c>
      <c r="M14" s="3158"/>
      <c r="N14" s="3338"/>
      <c r="O14" s="3157"/>
      <c r="P14" s="3159"/>
      <c r="Q14" s="3061"/>
      <c r="R14" s="3059"/>
      <c r="S14" s="3132"/>
      <c r="V14" s="3118"/>
      <c r="AA14" s="3119"/>
    </row>
    <row r="15" spans="1:29" ht="56.25" customHeight="1">
      <c r="A15" s="3061"/>
      <c r="B15" s="3330"/>
      <c r="C15" s="3333"/>
      <c r="D15" s="3333"/>
      <c r="E15" s="3333"/>
      <c r="F15" s="3160"/>
      <c r="G15" s="3161"/>
      <c r="H15" s="3162"/>
      <c r="I15" s="3162"/>
      <c r="J15" s="3163"/>
      <c r="K15" s="3335"/>
      <c r="L15" s="3337"/>
      <c r="M15" s="3164"/>
      <c r="N15" s="3339"/>
      <c r="O15" s="3163"/>
      <c r="P15" s="3165"/>
      <c r="Q15" s="3061"/>
      <c r="R15" s="3060"/>
      <c r="S15" s="3060" t="s">
        <v>3644</v>
      </c>
    </row>
    <row r="16" spans="1:29" ht="56.25" customHeight="1">
      <c r="A16" s="3061"/>
      <c r="B16" s="3321" t="s">
        <v>3645</v>
      </c>
      <c r="C16" s="3323" t="s">
        <v>3646</v>
      </c>
      <c r="D16" s="3323"/>
      <c r="E16" s="3323"/>
      <c r="F16" s="3166"/>
      <c r="G16" s="3150"/>
      <c r="H16" s="3151"/>
      <c r="I16" s="3151"/>
      <c r="J16" s="3151"/>
      <c r="K16" s="3325" t="str">
        <f>IF(LEN(DBCS(ROUND(S13,1)))&lt;3,DBCS(ROUND(S13,1)) &amp;"．０",DBCS(ROUND(S13,1)))</f>
        <v>３．０</v>
      </c>
      <c r="L16" s="3327" t="s">
        <v>3641</v>
      </c>
      <c r="M16" s="2635"/>
      <c r="N16" s="3310"/>
      <c r="O16" s="3151"/>
      <c r="P16" s="3152"/>
      <c r="Q16" s="3061"/>
      <c r="R16" s="3167" t="s">
        <v>3647</v>
      </c>
      <c r="S16" s="3168">
        <f>IF(S35="対象外",SUMPRODUCT(S36:S38,T36:T38)/SUM(T36:T38),S35*T35+S36*T36+S37*T37+S38*T38)</f>
        <v>3.0000000000000004</v>
      </c>
      <c r="T16" s="3119"/>
      <c r="U16" s="3119"/>
      <c r="W16" s="3119"/>
    </row>
    <row r="17" spans="1:24" ht="56.25" customHeight="1" thickBot="1">
      <c r="A17" s="3061"/>
      <c r="B17" s="3322"/>
      <c r="C17" s="3323"/>
      <c r="D17" s="3323"/>
      <c r="E17" s="3323"/>
      <c r="F17" s="3166"/>
      <c r="G17" s="3150"/>
      <c r="H17" s="3151"/>
      <c r="I17" s="3151"/>
      <c r="J17" s="3153"/>
      <c r="K17" s="3326"/>
      <c r="L17" s="3328"/>
      <c r="M17" s="2635"/>
      <c r="N17" s="3311"/>
      <c r="O17" s="3153"/>
      <c r="P17" s="3154"/>
      <c r="Q17" s="3061"/>
      <c r="R17" s="3167" t="s">
        <v>3648</v>
      </c>
      <c r="S17" s="3168">
        <f>IF(S43="対象外",((S42*T42)+(S44*T44)+(S45*T45))/SUM(T42,T44:T45),SUMPRODUCT(S42:S45,T42:T45)/SUM(T42:T45))</f>
        <v>3</v>
      </c>
      <c r="T17" s="3119"/>
      <c r="U17" s="3119"/>
      <c r="W17" s="3119"/>
    </row>
    <row r="18" spans="1:24" ht="21.75" customHeight="1" thickTop="1">
      <c r="A18" s="3114"/>
      <c r="B18" s="3169"/>
      <c r="C18" s="3170"/>
      <c r="D18" s="3170"/>
      <c r="E18" s="3170"/>
      <c r="F18" s="3171"/>
      <c r="G18" s="3312" t="s">
        <v>3649</v>
      </c>
      <c r="H18" s="3313"/>
      <c r="I18" s="3172"/>
      <c r="J18" s="3318" t="s">
        <v>3650</v>
      </c>
      <c r="K18" s="3173"/>
      <c r="L18" s="3172"/>
      <c r="M18" s="3313" t="s">
        <v>3651</v>
      </c>
      <c r="N18" s="3313"/>
      <c r="O18" s="3174"/>
      <c r="P18" s="3175"/>
      <c r="Q18" s="3117"/>
      <c r="R18" s="3167" t="s">
        <v>3652</v>
      </c>
      <c r="S18" s="3146">
        <f>IF(S50="",0,S50)</f>
        <v>3</v>
      </c>
      <c r="T18" s="3119"/>
      <c r="U18" s="2687"/>
      <c r="V18" s="2687"/>
      <c r="W18" s="3119"/>
    </row>
    <row r="19" spans="1:24" ht="21.75" customHeight="1">
      <c r="A19" s="3114"/>
      <c r="B19" s="3176" t="s">
        <v>3653</v>
      </c>
      <c r="C19" s="3177"/>
      <c r="D19" s="3177"/>
      <c r="E19" s="3177"/>
      <c r="F19" s="3149"/>
      <c r="G19" s="3314"/>
      <c r="H19" s="3315"/>
      <c r="I19" s="3178"/>
      <c r="J19" s="3319"/>
      <c r="K19" s="2635"/>
      <c r="L19" s="3178"/>
      <c r="M19" s="3315"/>
      <c r="N19" s="3315"/>
      <c r="O19" s="3179"/>
      <c r="P19" s="3180"/>
      <c r="Q19" s="3117"/>
      <c r="R19" s="3167" t="s">
        <v>3654</v>
      </c>
      <c r="S19" s="3146">
        <f>IF(AND(S54="",S55="",S56=""),0,IF(S54+S55+S56&gt;5,5,S54+S55+S56))</f>
        <v>3</v>
      </c>
      <c r="T19" s="3119"/>
      <c r="U19" s="2687"/>
      <c r="W19" s="3119"/>
    </row>
    <row r="20" spans="1:24" ht="21.75" customHeight="1" thickBot="1">
      <c r="A20" s="3114"/>
      <c r="B20" s="3181" t="s">
        <v>3653</v>
      </c>
      <c r="C20" s="3182"/>
      <c r="D20" s="3182"/>
      <c r="E20" s="3182"/>
      <c r="F20" s="3183"/>
      <c r="G20" s="3316"/>
      <c r="H20" s="3317"/>
      <c r="I20" s="3184"/>
      <c r="J20" s="3320"/>
      <c r="K20" s="3185"/>
      <c r="L20" s="3186"/>
      <c r="M20" s="3317"/>
      <c r="N20" s="3317"/>
      <c r="O20" s="3187"/>
      <c r="P20" s="3188"/>
      <c r="Q20" s="3117"/>
      <c r="R20" s="3167" t="s">
        <v>3655</v>
      </c>
      <c r="S20" s="3168">
        <f>IF(OR(S62="対象外",S63="対象外"),0,SUMPRODUCT(S62:S63,T62:T63)/SUM(T62:T63))</f>
        <v>3</v>
      </c>
      <c r="T20" s="3119"/>
      <c r="U20" s="2687"/>
      <c r="W20" s="3119"/>
    </row>
    <row r="21" spans="1:24" ht="7.5" customHeight="1" thickBot="1">
      <c r="A21" s="3114"/>
      <c r="B21" s="2635"/>
      <c r="C21" s="2635"/>
      <c r="D21" s="2635"/>
      <c r="E21" s="2635"/>
      <c r="F21" s="2635"/>
      <c r="G21" s="2635"/>
      <c r="H21" s="2635"/>
      <c r="I21" s="2635"/>
      <c r="J21" s="2635"/>
      <c r="K21" s="2635"/>
      <c r="L21" s="2635"/>
      <c r="M21" s="2635"/>
      <c r="N21" s="2635"/>
      <c r="O21" s="2635"/>
      <c r="P21" s="2635"/>
      <c r="Q21" s="3117"/>
      <c r="R21" s="3167" t="s">
        <v>3656</v>
      </c>
      <c r="S21" s="3146">
        <f>IF(AND(S67="",S68=""),0,IF(S67+S68&gt;5,5,S67+S68))</f>
        <v>3</v>
      </c>
    </row>
    <row r="22" spans="1:24" ht="24" customHeight="1" thickBot="1">
      <c r="A22" s="3114"/>
      <c r="B22" s="3135" t="s">
        <v>3657</v>
      </c>
      <c r="C22" s="3189"/>
      <c r="D22" s="326"/>
      <c r="E22" s="326"/>
      <c r="F22" s="326"/>
      <c r="G22" s="3190"/>
      <c r="H22" s="329"/>
      <c r="I22" s="326"/>
      <c r="J22" s="326"/>
      <c r="K22" s="326"/>
      <c r="L22" s="326"/>
      <c r="M22" s="326"/>
      <c r="N22" s="326"/>
      <c r="O22" s="326"/>
      <c r="P22" s="3191"/>
      <c r="Q22" s="3117"/>
    </row>
    <row r="23" spans="1:24" ht="19.5" customHeight="1">
      <c r="A23" s="3114"/>
      <c r="B23" s="3192" t="s">
        <v>3658</v>
      </c>
      <c r="C23" s="3193"/>
      <c r="D23" s="3194"/>
      <c r="E23" s="3195"/>
      <c r="F23" s="3195"/>
      <c r="G23" s="3195"/>
      <c r="H23" s="3196"/>
      <c r="I23" s="3196"/>
      <c r="J23" s="3196"/>
      <c r="K23" s="3196"/>
      <c r="L23" s="3196"/>
      <c r="M23" s="3196"/>
      <c r="N23" s="3196"/>
      <c r="O23" s="3196"/>
      <c r="P23" s="3197"/>
      <c r="Q23" s="3117"/>
    </row>
    <row r="24" spans="1:24" ht="29.25" customHeight="1">
      <c r="A24" s="3114"/>
      <c r="B24" s="3198" t="str">
        <f>R11</f>
        <v>K1　地球環境にやさしい
社会をつくる</v>
      </c>
      <c r="C24" s="3199"/>
      <c r="D24" s="3199"/>
      <c r="E24" s="3199"/>
      <c r="F24" s="3199"/>
      <c r="G24" s="3199"/>
      <c r="H24" s="3200" t="str">
        <f>R12</f>
        <v>K2　うるおいのある
景観をつくる</v>
      </c>
      <c r="I24" s="3201"/>
      <c r="J24" s="3199"/>
      <c r="K24" s="3199"/>
      <c r="L24" s="3199"/>
      <c r="M24" s="3202"/>
      <c r="N24" s="3203"/>
      <c r="O24" s="3203"/>
      <c r="P24" s="3204" t="str">
        <f>R13&amp;"　　　　　"</f>
        <v>K3　安全で健康な
生活環境をつくる　　　　　</v>
      </c>
      <c r="Q24" s="3117"/>
    </row>
    <row r="25" spans="1:24" ht="27" customHeight="1">
      <c r="A25" s="3114"/>
      <c r="B25" s="3205"/>
      <c r="C25" s="3199"/>
      <c r="D25" s="3206"/>
      <c r="E25" s="3199"/>
      <c r="F25" s="3199"/>
      <c r="G25" s="3199"/>
      <c r="H25" s="3206"/>
      <c r="I25" s="3199"/>
      <c r="J25" s="3199"/>
      <c r="K25" s="3199"/>
      <c r="L25" s="3199"/>
      <c r="M25" s="3199"/>
      <c r="N25" s="3203"/>
      <c r="O25" s="3203"/>
      <c r="P25" s="3207"/>
      <c r="Q25" s="3117"/>
      <c r="T25" s="472"/>
      <c r="X25" s="3119"/>
    </row>
    <row r="26" spans="1:24" ht="27" customHeight="1">
      <c r="A26" s="3114"/>
      <c r="B26" s="3205"/>
      <c r="C26" s="3199"/>
      <c r="D26" s="3199"/>
      <c r="E26" s="3199"/>
      <c r="F26" s="3199"/>
      <c r="G26" s="3199"/>
      <c r="H26" s="3199"/>
      <c r="I26" s="3199"/>
      <c r="J26" s="3199"/>
      <c r="K26" s="3199"/>
      <c r="L26" s="3199"/>
      <c r="M26" s="3199"/>
      <c r="N26" s="3203"/>
      <c r="O26" s="3203"/>
      <c r="P26" s="3207"/>
      <c r="Q26" s="3117"/>
      <c r="T26" s="472"/>
      <c r="X26" s="3119"/>
    </row>
    <row r="27" spans="1:24" ht="27" customHeight="1">
      <c r="A27" s="3114"/>
      <c r="B27" s="3208"/>
      <c r="C27" s="2635"/>
      <c r="D27" s="2635"/>
      <c r="E27" s="2635"/>
      <c r="F27" s="2635"/>
      <c r="G27" s="2635"/>
      <c r="H27" s="2635"/>
      <c r="I27" s="2635"/>
      <c r="J27" s="2635"/>
      <c r="K27" s="2635"/>
      <c r="L27" s="2635"/>
      <c r="M27" s="2635"/>
      <c r="N27" s="2635"/>
      <c r="O27" s="2635"/>
      <c r="P27" s="2632"/>
      <c r="Q27" s="3117"/>
      <c r="T27" s="472"/>
      <c r="X27" s="3119"/>
    </row>
    <row r="28" spans="1:24" ht="27" customHeight="1">
      <c r="A28" s="3114"/>
      <c r="B28" s="3208"/>
      <c r="C28" s="2635"/>
      <c r="D28" s="2635"/>
      <c r="E28" s="2635"/>
      <c r="F28" s="2635"/>
      <c r="G28" s="2635"/>
      <c r="H28" s="2635"/>
      <c r="I28" s="2635"/>
      <c r="J28" s="2635"/>
      <c r="K28" s="2635"/>
      <c r="L28" s="2635"/>
      <c r="M28" s="2635"/>
      <c r="N28" s="2635"/>
      <c r="O28" s="2635"/>
      <c r="P28" s="2632"/>
      <c r="Q28" s="3117"/>
      <c r="T28" s="472"/>
      <c r="X28" s="3119"/>
    </row>
    <row r="29" spans="1:24" ht="27" customHeight="1" thickBot="1">
      <c r="A29" s="3114"/>
      <c r="B29" s="3209"/>
      <c r="C29" s="3185"/>
      <c r="D29" s="3185"/>
      <c r="E29" s="3185"/>
      <c r="F29" s="3185"/>
      <c r="G29" s="3185"/>
      <c r="H29" s="3185"/>
      <c r="I29" s="3185"/>
      <c r="J29" s="3185"/>
      <c r="K29" s="3185"/>
      <c r="L29" s="3185"/>
      <c r="M29" s="3185"/>
      <c r="N29" s="3185"/>
      <c r="O29" s="3185"/>
      <c r="P29" s="3210"/>
      <c r="Q29" s="3117"/>
      <c r="T29" s="472"/>
      <c r="X29" s="3119"/>
    </row>
    <row r="30" spans="1:24" ht="7.5" customHeight="1" thickBot="1">
      <c r="A30" s="3114"/>
      <c r="B30" s="2635"/>
      <c r="C30" s="2635"/>
      <c r="D30" s="2635"/>
      <c r="E30" s="2635"/>
      <c r="F30" s="2635"/>
      <c r="G30" s="2635"/>
      <c r="H30" s="2635"/>
      <c r="I30" s="2635"/>
      <c r="J30" s="2635"/>
      <c r="K30" s="2635"/>
      <c r="L30" s="2635"/>
      <c r="M30" s="2635"/>
      <c r="N30" s="2635"/>
      <c r="O30" s="2635"/>
      <c r="P30" s="2635"/>
      <c r="Q30" s="3117"/>
      <c r="X30" s="3119"/>
    </row>
    <row r="31" spans="1:24" ht="24" customHeight="1" thickBot="1">
      <c r="A31" s="3114"/>
      <c r="B31" s="3135" t="s">
        <v>3659</v>
      </c>
      <c r="C31" s="3189"/>
      <c r="D31" s="326"/>
      <c r="E31" s="326"/>
      <c r="F31" s="326"/>
      <c r="G31" s="3190"/>
      <c r="H31" s="329"/>
      <c r="I31" s="326"/>
      <c r="J31" s="326"/>
      <c r="K31" s="326"/>
      <c r="L31" s="326"/>
      <c r="M31" s="326"/>
      <c r="N31" s="326"/>
      <c r="O31" s="326"/>
      <c r="P31" s="3191"/>
      <c r="Q31" s="3117"/>
    </row>
    <row r="32" spans="1:24" ht="19.5" customHeight="1">
      <c r="A32" s="3062"/>
      <c r="B32" s="3211" t="str">
        <f>R11</f>
        <v>K1　地球環境にやさしい
社会をつくる</v>
      </c>
      <c r="C32" s="3193"/>
      <c r="D32" s="3194"/>
      <c r="E32" s="3195"/>
      <c r="F32" s="3195"/>
      <c r="G32" s="3195"/>
      <c r="H32" s="3196"/>
      <c r="I32" s="3212"/>
      <c r="J32" s="3213" t="s">
        <v>1976</v>
      </c>
      <c r="K32" s="3214"/>
      <c r="L32" s="3196"/>
      <c r="M32" s="3196"/>
      <c r="N32" s="3196"/>
      <c r="O32" s="3196"/>
      <c r="P32" s="3197"/>
      <c r="Q32" s="3063"/>
    </row>
    <row r="33" spans="1:31" ht="13.5">
      <c r="A33" s="2687"/>
      <c r="B33" s="3340" t="s">
        <v>3734</v>
      </c>
      <c r="C33" s="3341"/>
      <c r="D33" s="3341"/>
      <c r="E33" s="3341"/>
      <c r="F33" s="3341"/>
      <c r="G33" s="3341"/>
      <c r="H33" s="3341"/>
      <c r="I33" s="3342"/>
      <c r="J33" s="3215" t="str">
        <f>R33</f>
        <v>1.　省エネ型まちづくり</v>
      </c>
      <c r="K33" s="3215"/>
      <c r="L33" s="3216"/>
      <c r="M33" s="3216"/>
      <c r="N33" s="3216"/>
      <c r="O33" s="3216"/>
      <c r="P33" s="3217"/>
      <c r="Q33" s="3063"/>
      <c r="R33" s="472" t="s">
        <v>3660</v>
      </c>
    </row>
    <row r="34" spans="1:31" ht="3.75" customHeight="1" thickBot="1">
      <c r="A34" s="2687"/>
      <c r="B34" s="3340"/>
      <c r="C34" s="3341"/>
      <c r="D34" s="3341"/>
      <c r="E34" s="3341"/>
      <c r="F34" s="3341"/>
      <c r="G34" s="3341"/>
      <c r="H34" s="3341"/>
      <c r="I34" s="3342"/>
      <c r="J34" s="3215"/>
      <c r="K34" s="3215"/>
      <c r="L34" s="3216"/>
      <c r="M34" s="3216"/>
      <c r="N34" s="3216"/>
      <c r="O34" s="3216"/>
      <c r="P34" s="3217"/>
      <c r="Q34" s="3063"/>
      <c r="R34" s="3060" t="s">
        <v>3661</v>
      </c>
      <c r="S34" s="3060" t="s">
        <v>3662</v>
      </c>
      <c r="T34" s="3060" t="s">
        <v>3663</v>
      </c>
      <c r="U34" s="3059" t="s">
        <v>3664</v>
      </c>
      <c r="AE34" s="3060" t="s">
        <v>3661</v>
      </c>
    </row>
    <row r="35" spans="1:31" ht="14.25" thickBot="1">
      <c r="A35" s="2687"/>
      <c r="B35" s="3340"/>
      <c r="C35" s="3341"/>
      <c r="D35" s="3341"/>
      <c r="E35" s="3341"/>
      <c r="F35" s="3341"/>
      <c r="G35" s="3341"/>
      <c r="H35" s="3341"/>
      <c r="I35" s="3342"/>
      <c r="J35" s="3218" t="str">
        <f>R35</f>
        <v>1.1 建物の熱負荷抑制（LR1-1)</v>
      </c>
      <c r="K35" s="3061"/>
      <c r="L35" s="3216"/>
      <c r="M35" s="3216"/>
      <c r="N35" s="3216"/>
      <c r="O35" s="3219" t="s">
        <v>3662</v>
      </c>
      <c r="P35" s="3220" t="str">
        <f>採点K!L7</f>
        <v>対象外</v>
      </c>
      <c r="Q35" s="3063"/>
      <c r="R35" s="3060" t="s">
        <v>3665</v>
      </c>
      <c r="S35" s="3168" t="str">
        <f>P35</f>
        <v>対象外</v>
      </c>
      <c r="T35" s="3221">
        <v>0.3</v>
      </c>
      <c r="U35" s="3059" t="s">
        <v>3666</v>
      </c>
      <c r="AD35" s="3059" t="s">
        <v>3667</v>
      </c>
      <c r="AE35" s="3060" t="s">
        <v>3668</v>
      </c>
    </row>
    <row r="36" spans="1:31" ht="14.25" thickBot="1">
      <c r="A36" s="2687"/>
      <c r="B36" s="3340"/>
      <c r="C36" s="3341"/>
      <c r="D36" s="3341"/>
      <c r="E36" s="3341"/>
      <c r="F36" s="3341"/>
      <c r="G36" s="3341"/>
      <c r="H36" s="3341"/>
      <c r="I36" s="3342"/>
      <c r="J36" s="3218" t="str">
        <f>R36</f>
        <v>1.2 自然エネルギーの利用（LR1-2)</v>
      </c>
      <c r="K36" s="3061"/>
      <c r="L36" s="3216"/>
      <c r="M36" s="3216"/>
      <c r="N36" s="3216"/>
      <c r="O36" s="3219" t="s">
        <v>3662</v>
      </c>
      <c r="P36" s="3220">
        <f>採点K!L8</f>
        <v>3</v>
      </c>
      <c r="Q36" s="3063"/>
      <c r="R36" s="3060" t="s">
        <v>3669</v>
      </c>
      <c r="S36" s="3168">
        <f>P36</f>
        <v>3</v>
      </c>
      <c r="T36" s="3221">
        <v>0.2</v>
      </c>
      <c r="U36" s="3059" t="s">
        <v>3670</v>
      </c>
      <c r="AD36" s="3059" t="s">
        <v>3671</v>
      </c>
      <c r="AE36" s="3060" t="s">
        <v>3672</v>
      </c>
    </row>
    <row r="37" spans="1:31" ht="14.25" thickBot="1">
      <c r="A37" s="2687"/>
      <c r="B37" s="3340"/>
      <c r="C37" s="3341"/>
      <c r="D37" s="3341"/>
      <c r="E37" s="3341"/>
      <c r="F37" s="3341"/>
      <c r="G37" s="3341"/>
      <c r="H37" s="3341"/>
      <c r="I37" s="3342"/>
      <c r="J37" s="3218" t="str">
        <f>R37</f>
        <v>1.3 設備システムの高効率化（LR1-3)</v>
      </c>
      <c r="K37" s="3061"/>
      <c r="L37" s="3216"/>
      <c r="M37" s="3216"/>
      <c r="N37" s="3216"/>
      <c r="O37" s="3219" t="s">
        <v>3662</v>
      </c>
      <c r="P37" s="3220">
        <f>採点K!L9</f>
        <v>3</v>
      </c>
      <c r="Q37" s="3063"/>
      <c r="R37" s="3060" t="s">
        <v>3673</v>
      </c>
      <c r="S37" s="3168">
        <f>P37</f>
        <v>3</v>
      </c>
      <c r="T37" s="3221">
        <v>0.3</v>
      </c>
      <c r="U37" s="3222"/>
      <c r="AD37" s="3059" t="s">
        <v>3674</v>
      </c>
      <c r="AE37" s="3060" t="s">
        <v>3675</v>
      </c>
    </row>
    <row r="38" spans="1:31" ht="14.25" thickBot="1">
      <c r="A38" s="2687"/>
      <c r="B38" s="3340"/>
      <c r="C38" s="3341"/>
      <c r="D38" s="3341"/>
      <c r="E38" s="3341"/>
      <c r="F38" s="3341"/>
      <c r="G38" s="3341"/>
      <c r="H38" s="3341"/>
      <c r="I38" s="3342"/>
      <c r="J38" s="3218" t="str">
        <f>R38</f>
        <v>1.4 効率的な運用（LR1-4)</v>
      </c>
      <c r="K38" s="3061"/>
      <c r="L38" s="3216"/>
      <c r="M38" s="3216"/>
      <c r="N38" s="3216"/>
      <c r="O38" s="3219" t="s">
        <v>3662</v>
      </c>
      <c r="P38" s="3223">
        <f>採点K!L10</f>
        <v>3</v>
      </c>
      <c r="Q38" s="3063"/>
      <c r="R38" s="3060" t="s">
        <v>3676</v>
      </c>
      <c r="S38" s="3168">
        <f>P38</f>
        <v>3</v>
      </c>
      <c r="T38" s="3221">
        <v>0.2</v>
      </c>
      <c r="U38" s="3222"/>
      <c r="AD38" s="3059" t="s">
        <v>3677</v>
      </c>
      <c r="AE38" s="3060" t="s">
        <v>3678</v>
      </c>
    </row>
    <row r="39" spans="1:31" ht="3.75" customHeight="1">
      <c r="A39" s="2687"/>
      <c r="B39" s="3340"/>
      <c r="C39" s="3341"/>
      <c r="D39" s="3341"/>
      <c r="E39" s="3341"/>
      <c r="F39" s="3341"/>
      <c r="G39" s="3341"/>
      <c r="H39" s="3341"/>
      <c r="I39" s="3342"/>
      <c r="J39" s="3215"/>
      <c r="K39" s="3215"/>
      <c r="L39" s="3216"/>
      <c r="M39" s="3216"/>
      <c r="N39" s="3216"/>
      <c r="O39" s="3216"/>
      <c r="P39" s="3217"/>
      <c r="Q39" s="3063"/>
      <c r="U39" s="3222"/>
    </row>
    <row r="40" spans="1:31" ht="13.5">
      <c r="A40" s="3062"/>
      <c r="B40" s="3340" t="s">
        <v>3735</v>
      </c>
      <c r="C40" s="3341"/>
      <c r="D40" s="3341"/>
      <c r="E40" s="3341"/>
      <c r="F40" s="3341"/>
      <c r="G40" s="3341"/>
      <c r="H40" s="3341"/>
      <c r="I40" s="3342"/>
      <c r="J40" s="3224" t="str">
        <f>R40</f>
        <v>2.　循環型まちづくり</v>
      </c>
      <c r="K40" s="3224"/>
      <c r="L40" s="1138"/>
      <c r="M40" s="1138"/>
      <c r="N40" s="1138"/>
      <c r="O40" s="1138"/>
      <c r="P40" s="3225"/>
      <c r="Q40" s="3063"/>
      <c r="R40" s="472" t="s">
        <v>3679</v>
      </c>
      <c r="U40" s="3222"/>
    </row>
    <row r="41" spans="1:31" ht="3.75" customHeight="1" thickBot="1">
      <c r="A41" s="3062"/>
      <c r="B41" s="3340"/>
      <c r="C41" s="3341"/>
      <c r="D41" s="3341"/>
      <c r="E41" s="3341"/>
      <c r="F41" s="3341"/>
      <c r="G41" s="3341"/>
      <c r="H41" s="3341"/>
      <c r="I41" s="3342"/>
      <c r="J41" s="3224"/>
      <c r="K41" s="3224"/>
      <c r="L41" s="1138"/>
      <c r="M41" s="1138"/>
      <c r="N41" s="1138"/>
      <c r="O41" s="1138"/>
      <c r="P41" s="3225"/>
      <c r="Q41" s="3063"/>
      <c r="R41" s="3060" t="s">
        <v>3661</v>
      </c>
      <c r="S41" s="3060" t="s">
        <v>3662</v>
      </c>
      <c r="T41" s="3060" t="s">
        <v>3663</v>
      </c>
      <c r="U41" s="3059" t="s">
        <v>3680</v>
      </c>
      <c r="AE41" s="3060" t="s">
        <v>3661</v>
      </c>
    </row>
    <row r="42" spans="1:31" ht="14.25" thickBot="1">
      <c r="A42" s="3062"/>
      <c r="B42" s="3340"/>
      <c r="C42" s="3341"/>
      <c r="D42" s="3341"/>
      <c r="E42" s="3341"/>
      <c r="F42" s="3341"/>
      <c r="G42" s="3341"/>
      <c r="H42" s="3341"/>
      <c r="I42" s="3342"/>
      <c r="J42" s="3218" t="str">
        <f>R42</f>
        <v>2.1 雨水利用・雑排水再利用（LR2-1.1)</v>
      </c>
      <c r="K42" s="3061"/>
      <c r="L42" s="1138"/>
      <c r="M42" s="1138"/>
      <c r="N42" s="1138"/>
      <c r="O42" s="3219" t="s">
        <v>3662</v>
      </c>
      <c r="P42" s="3223">
        <f>IF(採点K!L12=0,"対象外",採点K!L12)</f>
        <v>3</v>
      </c>
      <c r="R42" s="3060" t="s">
        <v>3681</v>
      </c>
      <c r="S42" s="3168">
        <f>P42</f>
        <v>3</v>
      </c>
      <c r="T42" s="3060">
        <v>0.25</v>
      </c>
      <c r="U42" s="3059" t="s">
        <v>3666</v>
      </c>
      <c r="AD42" s="3059" t="s">
        <v>3682</v>
      </c>
      <c r="AE42" s="3060" t="s">
        <v>3683</v>
      </c>
    </row>
    <row r="43" spans="1:31" ht="14.25" thickBot="1">
      <c r="A43" s="3062"/>
      <c r="B43" s="3340"/>
      <c r="C43" s="3341"/>
      <c r="D43" s="3341"/>
      <c r="E43" s="3341"/>
      <c r="F43" s="3341"/>
      <c r="G43" s="3341"/>
      <c r="H43" s="3341"/>
      <c r="I43" s="3342"/>
      <c r="J43" s="3218" t="str">
        <f>R43</f>
        <v>2.2 雨水排水負荷抑制（LR3-2.3.1)</v>
      </c>
      <c r="K43" s="3061"/>
      <c r="L43" s="1138"/>
      <c r="M43" s="1138"/>
      <c r="N43" s="1138"/>
      <c r="O43" s="3219" t="s">
        <v>3662</v>
      </c>
      <c r="P43" s="3223">
        <f>IF(採点K!L13=0,"対象外",採点K!L13)</f>
        <v>3</v>
      </c>
      <c r="R43" s="3060" t="s">
        <v>3684</v>
      </c>
      <c r="S43" s="3168">
        <f>P43</f>
        <v>3</v>
      </c>
      <c r="T43" s="3060">
        <v>0.25</v>
      </c>
      <c r="U43" s="3222" t="s">
        <v>3685</v>
      </c>
      <c r="V43" s="3059">
        <v>0.25</v>
      </c>
      <c r="AD43" s="3059" t="s">
        <v>3686</v>
      </c>
      <c r="AE43" s="3060" t="s">
        <v>3687</v>
      </c>
    </row>
    <row r="44" spans="1:31" ht="14.25" thickBot="1">
      <c r="A44" s="3062"/>
      <c r="B44" s="3340"/>
      <c r="C44" s="3341"/>
      <c r="D44" s="3341"/>
      <c r="E44" s="3341"/>
      <c r="F44" s="3341"/>
      <c r="G44" s="3341"/>
      <c r="H44" s="3341"/>
      <c r="I44" s="3342"/>
      <c r="J44" s="3218" t="str">
        <f>R44</f>
        <v>2.3 非再生性資源の使用量削減（LR2-2)</v>
      </c>
      <c r="K44" s="3061"/>
      <c r="L44" s="1138"/>
      <c r="M44" s="1138"/>
      <c r="N44" s="1138"/>
      <c r="O44" s="3219" t="s">
        <v>3578</v>
      </c>
      <c r="P44" s="3223">
        <f>IF(採点K!L14=0,"対象外",採点K!L14)</f>
        <v>3</v>
      </c>
      <c r="R44" s="3060" t="s">
        <v>3688</v>
      </c>
      <c r="S44" s="3168">
        <f>P44</f>
        <v>3</v>
      </c>
      <c r="T44" s="3060">
        <v>0.25</v>
      </c>
      <c r="U44" s="3222" t="s">
        <v>3689</v>
      </c>
      <c r="V44" s="3059">
        <v>0.25</v>
      </c>
      <c r="AD44" s="3059" t="s">
        <v>3690</v>
      </c>
      <c r="AE44" s="3060" t="s">
        <v>3691</v>
      </c>
    </row>
    <row r="45" spans="1:31" ht="14.25" thickBot="1">
      <c r="A45" s="3062"/>
      <c r="B45" s="3340"/>
      <c r="C45" s="3341"/>
      <c r="D45" s="3341"/>
      <c r="E45" s="3341"/>
      <c r="F45" s="3341"/>
      <c r="G45" s="3341"/>
      <c r="H45" s="3341"/>
      <c r="I45" s="3342"/>
      <c r="J45" s="3218" t="str">
        <f>R45</f>
        <v>2.4 廃棄物処理負荷抑制（LR3-2.3.4)</v>
      </c>
      <c r="K45" s="3061"/>
      <c r="L45" s="1138"/>
      <c r="M45" s="1138"/>
      <c r="N45" s="1138"/>
      <c r="O45" s="3219" t="s">
        <v>3662</v>
      </c>
      <c r="P45" s="3223">
        <f>IF(採点K!L15=0,"対象外",採点K!L15)</f>
        <v>3</v>
      </c>
      <c r="R45" s="3060" t="s">
        <v>3692</v>
      </c>
      <c r="S45" s="3168">
        <f>P45</f>
        <v>3</v>
      </c>
      <c r="T45" s="3060">
        <v>0.25</v>
      </c>
      <c r="U45" s="3222" t="s">
        <v>3693</v>
      </c>
      <c r="V45" s="3059">
        <v>0.25</v>
      </c>
      <c r="AD45" s="3059" t="s">
        <v>3694</v>
      </c>
      <c r="AE45" s="3060" t="s">
        <v>3695</v>
      </c>
    </row>
    <row r="46" spans="1:31" ht="3.75" customHeight="1">
      <c r="A46" s="3062"/>
      <c r="B46" s="3340"/>
      <c r="C46" s="3341"/>
      <c r="D46" s="3341"/>
      <c r="E46" s="3341"/>
      <c r="F46" s="3341"/>
      <c r="G46" s="3341"/>
      <c r="H46" s="3341"/>
      <c r="I46" s="3342"/>
      <c r="J46" s="1138"/>
      <c r="K46" s="1138"/>
      <c r="L46" s="1138"/>
      <c r="M46" s="1138"/>
      <c r="N46" s="1138"/>
      <c r="O46" s="1138"/>
      <c r="P46" s="3225"/>
      <c r="U46" s="3222" t="s">
        <v>3696</v>
      </c>
      <c r="V46" s="3059">
        <v>0.25</v>
      </c>
    </row>
    <row r="47" spans="1:31" ht="19.5" customHeight="1">
      <c r="A47" s="3062"/>
      <c r="B47" s="3226" t="str">
        <f>R12</f>
        <v>K2　うるおいのある
景観をつくる</v>
      </c>
      <c r="C47" s="3227"/>
      <c r="D47" s="3228"/>
      <c r="E47" s="3229"/>
      <c r="F47" s="3229"/>
      <c r="G47" s="3229"/>
      <c r="H47" s="3230"/>
      <c r="I47" s="3231"/>
      <c r="J47" s="3232" t="s">
        <v>1976</v>
      </c>
      <c r="K47" s="3233"/>
      <c r="L47" s="3230"/>
      <c r="M47" s="3230"/>
      <c r="N47" s="3230"/>
      <c r="O47" s="3230"/>
      <c r="P47" s="3234"/>
    </row>
    <row r="48" spans="1:31" ht="13.5">
      <c r="A48" s="2687"/>
      <c r="B48" s="3346" t="s">
        <v>3736</v>
      </c>
      <c r="C48" s="3341"/>
      <c r="D48" s="3341"/>
      <c r="E48" s="3341"/>
      <c r="F48" s="3341"/>
      <c r="G48" s="3341"/>
      <c r="H48" s="3341"/>
      <c r="I48" s="3342"/>
      <c r="J48" s="3215" t="str">
        <f>R48</f>
        <v>1.　緑豊なまちなみ</v>
      </c>
      <c r="K48" s="3215"/>
      <c r="L48" s="3216"/>
      <c r="M48" s="3216"/>
      <c r="N48" s="3216"/>
      <c r="O48" s="3216"/>
      <c r="P48" s="3217"/>
      <c r="R48" s="472" t="s">
        <v>3561</v>
      </c>
    </row>
    <row r="49" spans="1:31" ht="3.75" customHeight="1" thickBot="1">
      <c r="A49" s="2687"/>
      <c r="B49" s="3340"/>
      <c r="C49" s="3341"/>
      <c r="D49" s="3341"/>
      <c r="E49" s="3341"/>
      <c r="F49" s="3341"/>
      <c r="G49" s="3341"/>
      <c r="H49" s="3341"/>
      <c r="I49" s="3342"/>
      <c r="J49" s="3215"/>
      <c r="K49" s="3215"/>
      <c r="L49" s="3216"/>
      <c r="M49" s="3216"/>
      <c r="N49" s="3216"/>
      <c r="O49" s="3216"/>
      <c r="P49" s="3217"/>
      <c r="R49" s="3060" t="s">
        <v>3661</v>
      </c>
      <c r="S49" s="3060" t="s">
        <v>3662</v>
      </c>
      <c r="T49" s="3060" t="s">
        <v>3663</v>
      </c>
      <c r="U49" s="3059" t="s">
        <v>3697</v>
      </c>
      <c r="AE49" s="3060" t="s">
        <v>3661</v>
      </c>
    </row>
    <row r="50" spans="1:31" ht="14.25" thickBot="1">
      <c r="A50" s="2687"/>
      <c r="B50" s="3340"/>
      <c r="C50" s="3341"/>
      <c r="D50" s="3341"/>
      <c r="E50" s="3341"/>
      <c r="F50" s="3341"/>
      <c r="G50" s="3341"/>
      <c r="H50" s="3341"/>
      <c r="I50" s="3342"/>
      <c r="J50" s="3218" t="str">
        <f>R50</f>
        <v>1.1 生物資源の保全と創出（Q3-1)</v>
      </c>
      <c r="K50" s="2635"/>
      <c r="L50" s="3216"/>
      <c r="M50" s="3216"/>
      <c r="N50" s="3216"/>
      <c r="O50" s="3219" t="s">
        <v>3662</v>
      </c>
      <c r="P50" s="3223">
        <f>採点K!L20</f>
        <v>3</v>
      </c>
      <c r="R50" s="3060" t="s">
        <v>3698</v>
      </c>
      <c r="S50" s="3168">
        <f>P50</f>
        <v>3</v>
      </c>
      <c r="T50" s="3060" t="s">
        <v>2328</v>
      </c>
      <c r="AD50" s="3059" t="s">
        <v>3699</v>
      </c>
      <c r="AE50" s="3060" t="s">
        <v>3700</v>
      </c>
    </row>
    <row r="51" spans="1:31" ht="3.75" customHeight="1">
      <c r="A51" s="2687"/>
      <c r="B51" s="3340"/>
      <c r="C51" s="3341"/>
      <c r="D51" s="3341"/>
      <c r="E51" s="3341"/>
      <c r="F51" s="3341"/>
      <c r="G51" s="3341"/>
      <c r="H51" s="3341"/>
      <c r="I51" s="3342"/>
      <c r="J51" s="3218"/>
      <c r="K51" s="3215"/>
      <c r="L51" s="3216"/>
      <c r="M51" s="3216"/>
      <c r="N51" s="3216"/>
      <c r="O51" s="3216"/>
      <c r="P51" s="3217"/>
      <c r="AE51" s="3060"/>
    </row>
    <row r="52" spans="1:31" ht="13.5">
      <c r="A52" s="2687"/>
      <c r="B52" s="3340" t="s">
        <v>3737</v>
      </c>
      <c r="C52" s="3341"/>
      <c r="D52" s="3341"/>
      <c r="E52" s="3341"/>
      <c r="F52" s="3341"/>
      <c r="G52" s="3341"/>
      <c r="H52" s="3341"/>
      <c r="I52" s="3342"/>
      <c r="J52" s="3235" t="str">
        <f>R52</f>
        <v>2.　魅力ある景観</v>
      </c>
      <c r="K52" s="3215"/>
      <c r="L52" s="3216"/>
      <c r="M52" s="3216"/>
      <c r="N52" s="3216"/>
      <c r="O52" s="3216"/>
      <c r="P52" s="3217"/>
      <c r="R52" s="472" t="s">
        <v>3701</v>
      </c>
    </row>
    <row r="53" spans="1:31" ht="3.75" customHeight="1" thickBot="1">
      <c r="A53" s="2687"/>
      <c r="B53" s="3340"/>
      <c r="C53" s="3341"/>
      <c r="D53" s="3341"/>
      <c r="E53" s="3341"/>
      <c r="F53" s="3341"/>
      <c r="G53" s="3341"/>
      <c r="H53" s="3341"/>
      <c r="I53" s="3342"/>
      <c r="J53" s="3218"/>
      <c r="K53" s="3224"/>
      <c r="L53" s="1138"/>
      <c r="M53" s="1138"/>
      <c r="N53" s="1138"/>
      <c r="O53" s="1138"/>
      <c r="P53" s="3225"/>
      <c r="R53" s="3060" t="s">
        <v>3702</v>
      </c>
      <c r="S53" s="3060" t="s">
        <v>3662</v>
      </c>
      <c r="T53" s="3060" t="s">
        <v>3663</v>
      </c>
      <c r="U53" s="3059" t="s">
        <v>3703</v>
      </c>
    </row>
    <row r="54" spans="1:31" ht="14.25" thickBot="1">
      <c r="A54" s="3062"/>
      <c r="B54" s="3340"/>
      <c r="C54" s="3341"/>
      <c r="D54" s="3341"/>
      <c r="E54" s="3341"/>
      <c r="F54" s="3341"/>
      <c r="G54" s="3341"/>
      <c r="H54" s="3341"/>
      <c r="I54" s="3342"/>
      <c r="J54" s="3218" t="str">
        <f>R54</f>
        <v>2.1 まちなみ・景観への配慮（Q3-2)</v>
      </c>
      <c r="K54" s="2635"/>
      <c r="L54" s="1138"/>
      <c r="M54" s="1138"/>
      <c r="N54" s="1138"/>
      <c r="O54" s="3219" t="s">
        <v>3662</v>
      </c>
      <c r="P54" s="3220">
        <f>採点K!L22</f>
        <v>3</v>
      </c>
      <c r="R54" s="3060" t="s">
        <v>3704</v>
      </c>
      <c r="S54" s="3236">
        <f>P54</f>
        <v>3</v>
      </c>
      <c r="T54" s="3060" t="s">
        <v>2328</v>
      </c>
      <c r="AE54" s="3060" t="s">
        <v>3661</v>
      </c>
    </row>
    <row r="55" spans="1:31" ht="14.25" thickBot="1">
      <c r="A55" s="3062"/>
      <c r="B55" s="3340"/>
      <c r="C55" s="3341"/>
      <c r="D55" s="3341"/>
      <c r="E55" s="3341"/>
      <c r="F55" s="3341"/>
      <c r="G55" s="3341"/>
      <c r="H55" s="3341"/>
      <c r="I55" s="3342"/>
      <c r="J55" s="3218" t="str">
        <f>R55</f>
        <v>2.2 水空間の創出</v>
      </c>
      <c r="K55" s="2635"/>
      <c r="L55" s="1138"/>
      <c r="M55" s="1138"/>
      <c r="N55" s="1138"/>
      <c r="O55" s="3219" t="s">
        <v>3705</v>
      </c>
      <c r="P55" s="3237" t="str">
        <f>IF(S55=1,"○","-")</f>
        <v>-</v>
      </c>
      <c r="R55" s="3238" t="s">
        <v>3706</v>
      </c>
      <c r="S55" s="3239">
        <v>0</v>
      </c>
      <c r="T55" s="3240" t="s">
        <v>2328</v>
      </c>
      <c r="U55" s="3241"/>
      <c r="AD55" s="3059" t="s">
        <v>3707</v>
      </c>
      <c r="AE55" s="3060" t="s">
        <v>3708</v>
      </c>
    </row>
    <row r="56" spans="1:31" ht="14.25" thickBot="1">
      <c r="A56" s="3062"/>
      <c r="B56" s="3340"/>
      <c r="C56" s="3341"/>
      <c r="D56" s="3341"/>
      <c r="E56" s="3341"/>
      <c r="F56" s="3341"/>
      <c r="G56" s="3341"/>
      <c r="H56" s="3341"/>
      <c r="I56" s="3342"/>
      <c r="J56" s="3218" t="str">
        <f>R56</f>
        <v xml:space="preserve">2.3　道路沿いの緑化 </v>
      </c>
      <c r="K56" s="2635"/>
      <c r="L56" s="1138"/>
      <c r="M56" s="1138"/>
      <c r="N56" s="1138"/>
      <c r="O56" s="3219" t="s">
        <v>3709</v>
      </c>
      <c r="P56" s="3237" t="str">
        <f>IF(S56=1,"○","-")</f>
        <v>-</v>
      </c>
      <c r="R56" s="3238" t="s">
        <v>3710</v>
      </c>
      <c r="S56" s="3239">
        <v>0</v>
      </c>
      <c r="T56" s="3240" t="s">
        <v>2328</v>
      </c>
      <c r="U56" s="3241"/>
      <c r="AD56" s="3059" t="s">
        <v>3711</v>
      </c>
      <c r="AE56" s="3060" t="s">
        <v>3712</v>
      </c>
    </row>
    <row r="57" spans="1:31" ht="3.75" customHeight="1">
      <c r="A57" s="2687"/>
      <c r="B57" s="3340"/>
      <c r="C57" s="3341"/>
      <c r="D57" s="3341"/>
      <c r="E57" s="3341"/>
      <c r="F57" s="3341"/>
      <c r="G57" s="3341"/>
      <c r="H57" s="3341"/>
      <c r="I57" s="3342"/>
      <c r="J57" s="3215"/>
      <c r="K57" s="3215"/>
      <c r="L57" s="3216"/>
      <c r="M57" s="3216"/>
      <c r="N57" s="3216"/>
      <c r="O57" s="2635"/>
      <c r="P57" s="3225"/>
      <c r="U57" s="3241"/>
      <c r="AD57" s="3059" t="s">
        <v>3713</v>
      </c>
      <c r="AE57" s="3059" t="s">
        <v>3714</v>
      </c>
    </row>
    <row r="58" spans="1:31" ht="3.75" customHeight="1">
      <c r="B58" s="3347"/>
      <c r="C58" s="3348"/>
      <c r="D58" s="3348"/>
      <c r="E58" s="3348"/>
      <c r="F58" s="3348"/>
      <c r="G58" s="3348"/>
      <c r="H58" s="3348"/>
      <c r="I58" s="3349"/>
      <c r="J58" s="3242"/>
      <c r="K58" s="3242"/>
      <c r="L58" s="3242"/>
      <c r="M58" s="3242"/>
      <c r="N58" s="3242"/>
      <c r="O58" s="3242"/>
      <c r="P58" s="3243"/>
    </row>
    <row r="59" spans="1:31" ht="19.5" customHeight="1">
      <c r="B59" s="3244" t="str">
        <f>R13</f>
        <v>K3　安全で健康な
生活環境をつくる</v>
      </c>
      <c r="C59" s="3245"/>
      <c r="D59" s="3246"/>
      <c r="E59" s="3247"/>
      <c r="F59" s="3247"/>
      <c r="G59" s="3247"/>
      <c r="H59" s="3248"/>
      <c r="I59" s="3249"/>
      <c r="J59" s="3250" t="s">
        <v>1976</v>
      </c>
      <c r="K59" s="3251"/>
      <c r="L59" s="3248"/>
      <c r="M59" s="3248"/>
      <c r="N59" s="3248"/>
      <c r="O59" s="3248"/>
      <c r="P59" s="3252"/>
    </row>
    <row r="60" spans="1:31" ht="13.5">
      <c r="B60" s="3350" t="s">
        <v>3738</v>
      </c>
      <c r="C60" s="3351"/>
      <c r="D60" s="3351"/>
      <c r="E60" s="3351"/>
      <c r="F60" s="3351"/>
      <c r="G60" s="3351"/>
      <c r="H60" s="3351"/>
      <c r="I60" s="3352"/>
      <c r="J60" s="3224" t="str">
        <f>R60</f>
        <v>1.　健康な暮らし</v>
      </c>
      <c r="K60" s="3224"/>
      <c r="L60" s="1138"/>
      <c r="M60" s="1138"/>
      <c r="N60" s="1138"/>
      <c r="O60" s="1138"/>
      <c r="P60" s="3225"/>
      <c r="R60" s="472" t="s">
        <v>3715</v>
      </c>
    </row>
    <row r="61" spans="1:31" ht="3.75" customHeight="1" thickBot="1">
      <c r="B61" s="3353"/>
      <c r="C61" s="3351"/>
      <c r="D61" s="3351"/>
      <c r="E61" s="3351"/>
      <c r="F61" s="3351"/>
      <c r="G61" s="3351"/>
      <c r="H61" s="3351"/>
      <c r="I61" s="3352"/>
      <c r="J61" s="3224"/>
      <c r="K61" s="3224"/>
      <c r="L61" s="1138"/>
      <c r="M61" s="1138"/>
      <c r="N61" s="1138"/>
      <c r="O61" s="1138"/>
      <c r="P61" s="3225"/>
      <c r="R61" s="3060" t="s">
        <v>3661</v>
      </c>
      <c r="S61" s="3060" t="s">
        <v>3662</v>
      </c>
      <c r="T61" s="3060" t="s">
        <v>3663</v>
      </c>
      <c r="U61" s="3059" t="s">
        <v>3716</v>
      </c>
      <c r="AE61" s="3060" t="s">
        <v>3661</v>
      </c>
    </row>
    <row r="62" spans="1:31" ht="14.25" thickBot="1">
      <c r="B62" s="3353"/>
      <c r="C62" s="3351"/>
      <c r="D62" s="3351"/>
      <c r="E62" s="3351"/>
      <c r="F62" s="3351"/>
      <c r="G62" s="3351"/>
      <c r="H62" s="3351"/>
      <c r="I62" s="3352"/>
      <c r="J62" s="3218" t="str">
        <f>R62</f>
        <v>1.1 空気質環境（Q1-4)</v>
      </c>
      <c r="K62" s="3061"/>
      <c r="L62" s="1138"/>
      <c r="M62" s="1138"/>
      <c r="N62" s="1138"/>
      <c r="O62" s="3219" t="s">
        <v>3662</v>
      </c>
      <c r="P62" s="3220">
        <f>IF(採点K!L35=0,"対象外",採点K!L35)</f>
        <v>3</v>
      </c>
      <c r="R62" s="3060" t="s">
        <v>3717</v>
      </c>
      <c r="S62" s="3168">
        <f>P62</f>
        <v>3</v>
      </c>
      <c r="T62" s="3060">
        <v>0.5</v>
      </c>
      <c r="U62" s="3059" t="s">
        <v>3666</v>
      </c>
      <c r="AD62" s="3059" t="s">
        <v>3718</v>
      </c>
      <c r="AE62" s="3060" t="s">
        <v>3719</v>
      </c>
    </row>
    <row r="63" spans="1:31" ht="14.25" thickBot="1">
      <c r="B63" s="3353"/>
      <c r="C63" s="3351"/>
      <c r="D63" s="3351"/>
      <c r="E63" s="3351"/>
      <c r="F63" s="3351"/>
      <c r="G63" s="3351"/>
      <c r="H63" s="3351"/>
      <c r="I63" s="3352"/>
      <c r="J63" s="3218" t="str">
        <f>R63</f>
        <v>1.2 バリアフリー計画（Q2-1.1.3)</v>
      </c>
      <c r="K63" s="3061"/>
      <c r="L63" s="1138"/>
      <c r="M63" s="1138"/>
      <c r="N63" s="1138"/>
      <c r="O63" s="3219" t="s">
        <v>3662</v>
      </c>
      <c r="P63" s="3223">
        <f>IF(採点K!L36=0,"対象外",採点K!L36)</f>
        <v>3</v>
      </c>
      <c r="R63" s="3060" t="s">
        <v>3720</v>
      </c>
      <c r="S63" s="3168">
        <f>P63</f>
        <v>3</v>
      </c>
      <c r="T63" s="3060">
        <v>0.5</v>
      </c>
      <c r="U63" s="3222" t="s">
        <v>3721</v>
      </c>
      <c r="V63" s="3059">
        <v>0.5</v>
      </c>
      <c r="AD63" s="3059" t="s">
        <v>3722</v>
      </c>
      <c r="AE63" s="3060" t="s">
        <v>3723</v>
      </c>
    </row>
    <row r="64" spans="1:31" ht="3.75" customHeight="1">
      <c r="B64" s="3353"/>
      <c r="C64" s="3351"/>
      <c r="D64" s="3351"/>
      <c r="E64" s="3351"/>
      <c r="F64" s="3351"/>
      <c r="G64" s="3351"/>
      <c r="H64" s="3351"/>
      <c r="I64" s="3352"/>
      <c r="J64" s="3224"/>
      <c r="K64" s="3224"/>
      <c r="L64" s="1138"/>
      <c r="M64" s="1138"/>
      <c r="N64" s="1138"/>
      <c r="O64" s="1138"/>
      <c r="P64" s="3225"/>
      <c r="U64" s="3222" t="s">
        <v>3724</v>
      </c>
      <c r="V64" s="3059">
        <v>0.5</v>
      </c>
    </row>
    <row r="65" spans="2:31" ht="13.5">
      <c r="B65" s="3340">
        <v>0</v>
      </c>
      <c r="C65" s="3341"/>
      <c r="D65" s="3341"/>
      <c r="E65" s="3341"/>
      <c r="F65" s="3341"/>
      <c r="G65" s="3341"/>
      <c r="H65" s="3341"/>
      <c r="I65" s="3342"/>
      <c r="J65" s="3224" t="str">
        <f>R65</f>
        <v>2.　安全な暮らし</v>
      </c>
      <c r="K65" s="3224"/>
      <c r="L65" s="1138"/>
      <c r="M65" s="1138"/>
      <c r="N65" s="1138"/>
      <c r="O65" s="1138"/>
      <c r="P65" s="3225"/>
      <c r="R65" s="472" t="s">
        <v>3725</v>
      </c>
    </row>
    <row r="66" spans="2:31" ht="3.75" customHeight="1" thickBot="1">
      <c r="B66" s="3340"/>
      <c r="C66" s="3341"/>
      <c r="D66" s="3341"/>
      <c r="E66" s="3341"/>
      <c r="F66" s="3341"/>
      <c r="G66" s="3341"/>
      <c r="H66" s="3341"/>
      <c r="I66" s="3342"/>
      <c r="J66" s="3224"/>
      <c r="K66" s="3224"/>
      <c r="L66" s="1138"/>
      <c r="M66" s="1138"/>
      <c r="N66" s="1138"/>
      <c r="O66" s="1138"/>
      <c r="P66" s="3225"/>
      <c r="R66" s="3060" t="s">
        <v>3661</v>
      </c>
      <c r="S66" s="3060" t="s">
        <v>3662</v>
      </c>
      <c r="T66" s="3060" t="s">
        <v>3663</v>
      </c>
      <c r="U66" s="3059" t="s">
        <v>3726</v>
      </c>
      <c r="AE66" s="3060" t="s">
        <v>3661</v>
      </c>
    </row>
    <row r="67" spans="2:31" ht="14.25" thickBot="1">
      <c r="B67" s="3340"/>
      <c r="C67" s="3341"/>
      <c r="D67" s="3341"/>
      <c r="E67" s="3341"/>
      <c r="F67" s="3341"/>
      <c r="G67" s="3341"/>
      <c r="H67" s="3341"/>
      <c r="I67" s="3342"/>
      <c r="J67" s="3218" t="str">
        <f>R67</f>
        <v>2.1 耐震・免震（Q2-2.1)</v>
      </c>
      <c r="K67" s="3061"/>
      <c r="L67" s="1285"/>
      <c r="M67" s="1285"/>
      <c r="N67" s="1285"/>
      <c r="O67" s="3253" t="s">
        <v>3662</v>
      </c>
      <c r="P67" s="3220">
        <f>採点K!L38</f>
        <v>3</v>
      </c>
      <c r="R67" s="3060" t="s">
        <v>3727</v>
      </c>
      <c r="S67" s="3168">
        <f>P67</f>
        <v>3</v>
      </c>
      <c r="T67" s="3060" t="s">
        <v>2328</v>
      </c>
      <c r="AD67" s="3059" t="s">
        <v>3728</v>
      </c>
      <c r="AE67" s="3060" t="s">
        <v>3729</v>
      </c>
    </row>
    <row r="68" spans="2:31" ht="14.25" thickBot="1">
      <c r="B68" s="3340"/>
      <c r="C68" s="3341"/>
      <c r="D68" s="3341"/>
      <c r="E68" s="3341"/>
      <c r="F68" s="3341"/>
      <c r="G68" s="3341"/>
      <c r="H68" s="3341"/>
      <c r="I68" s="3342"/>
      <c r="J68" s="3218" t="str">
        <f>R68</f>
        <v>2.2 防犯対策</v>
      </c>
      <c r="K68" s="3061"/>
      <c r="L68" s="1285"/>
      <c r="M68" s="1285"/>
      <c r="N68" s="1285"/>
      <c r="O68" s="3253" t="s">
        <v>3730</v>
      </c>
      <c r="P68" s="3237" t="str">
        <f>IF(S68=1,"○","-")</f>
        <v>-</v>
      </c>
      <c r="R68" s="3060" t="s">
        <v>3731</v>
      </c>
      <c r="S68" s="3239">
        <v>0</v>
      </c>
      <c r="T68" s="3060" t="s">
        <v>2328</v>
      </c>
      <c r="AD68" s="3059" t="s">
        <v>3732</v>
      </c>
      <c r="AE68" s="3060" t="s">
        <v>3733</v>
      </c>
    </row>
    <row r="69" spans="2:31" ht="3.75" customHeight="1" thickBot="1">
      <c r="B69" s="3343"/>
      <c r="C69" s="3344"/>
      <c r="D69" s="3344"/>
      <c r="E69" s="3344"/>
      <c r="F69" s="3344"/>
      <c r="G69" s="3344"/>
      <c r="H69" s="3344"/>
      <c r="I69" s="3345"/>
      <c r="J69" s="3254"/>
      <c r="K69" s="3254"/>
      <c r="L69" s="3254"/>
      <c r="M69" s="3254"/>
      <c r="N69" s="3254"/>
      <c r="O69" s="3254"/>
      <c r="P69" s="3255"/>
      <c r="R69" s="3059"/>
    </row>
    <row r="70" spans="2:31" ht="13.5" customHeight="1"/>
    <row r="71" spans="2:31" ht="13.5" hidden="1" customHeight="1"/>
    <row r="72" spans="2:31" ht="13.5" hidden="1" customHeight="1"/>
    <row r="73" spans="2:31" ht="13.5" hidden="1" customHeight="1"/>
    <row r="74" spans="2:31" ht="13.5" hidden="1" customHeight="1"/>
    <row r="75" spans="2:31" ht="13.5" hidden="1" customHeight="1"/>
    <row r="76" spans="2:31" ht="13.5" hidden="1" customHeight="1"/>
    <row r="77" spans="2:31" ht="13.5" hidden="1" customHeight="1"/>
    <row r="78" spans="2:31" ht="13.5" hidden="1" customHeight="1"/>
    <row r="79" spans="2:31" ht="13.5" hidden="1" customHeight="1"/>
    <row r="80" spans="2:31"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sheetData>
  <sheetProtection algorithmName="SHA-512" hashValue="8ajAIR2l6vFa5cMbcpGtrwq/CEoLvnAO7B4L4I7z5NP53wo1FK/Ck9M+satoJ/edOoxP55IMInsB+Hu5DkjnJQ==" saltValue="iRll6glFpuWqDdij+Je9Bg==" spinCount="100000" sheet="1" objects="1" scenarios="1"/>
  <mergeCells count="30">
    <mergeCell ref="B65:I69"/>
    <mergeCell ref="B16:B17"/>
    <mergeCell ref="C16:E17"/>
    <mergeCell ref="K16:K17"/>
    <mergeCell ref="L16:L17"/>
    <mergeCell ref="B33:I39"/>
    <mergeCell ref="B40:I46"/>
    <mergeCell ref="B48:I51"/>
    <mergeCell ref="B52:I58"/>
    <mergeCell ref="B60:I64"/>
    <mergeCell ref="N16:N17"/>
    <mergeCell ref="G18:H20"/>
    <mergeCell ref="J18:J20"/>
    <mergeCell ref="M18:N20"/>
    <mergeCell ref="B12:B13"/>
    <mergeCell ref="C12:E13"/>
    <mergeCell ref="K12:K13"/>
    <mergeCell ref="L12:L13"/>
    <mergeCell ref="N12:N13"/>
    <mergeCell ref="B14:B15"/>
    <mergeCell ref="C14:E15"/>
    <mergeCell ref="K14:K15"/>
    <mergeCell ref="L14:L15"/>
    <mergeCell ref="N14:N15"/>
    <mergeCell ref="M11:P11"/>
    <mergeCell ref="N6:P6"/>
    <mergeCell ref="B8:C8"/>
    <mergeCell ref="D8:I8"/>
    <mergeCell ref="J8:K8"/>
    <mergeCell ref="M8:P8"/>
  </mergeCells>
  <phoneticPr fontId="22"/>
  <dataValidations count="1">
    <dataValidation type="list" allowBlank="1" showInputMessage="1" showErrorMessage="1" sqref="WVT98304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formula1>"S,A,B+,B-,C"</formula1>
    </dataValidation>
  </dataValidations>
  <printOptions horizontalCentered="1"/>
  <pageMargins left="0.78740157480314965" right="0.78740157480314965" top="0.98425196850393704" bottom="0.98425196850393704" header="0.51181102362204722" footer="0.51181102362204722"/>
  <pageSetup paperSize="9" scale="57" orientation="portrait" r:id="rId1"/>
  <headerFooter alignWithMargins="0">
    <oddHeader>&amp;L&amp;F&amp;R&amp;A</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R56"/>
  <sheetViews>
    <sheetView showGridLines="0" zoomScale="40" zoomScaleNormal="40" workbookViewId="0">
      <selection activeCell="P48" sqref="P48"/>
    </sheetView>
  </sheetViews>
  <sheetFormatPr defaultColWidth="0" defaultRowHeight="13.5" customHeight="1" zeroHeight="1"/>
  <cols>
    <col min="1" max="16" width="11" style="2687" customWidth="1"/>
    <col min="17" max="16384" width="9" style="2687" hidden="1"/>
  </cols>
  <sheetData>
    <row r="1" spans="17:18"/>
    <row r="2" spans="17:18"/>
    <row r="3" spans="17:18">
      <c r="Q3" s="2687" t="s">
        <v>3739</v>
      </c>
      <c r="R3" s="2687" t="str">
        <f>"H"&amp;Q5&amp;"-"&amp;R5</f>
        <v>H22-100</v>
      </c>
    </row>
    <row r="4" spans="17:18">
      <c r="Q4" s="3256" t="s">
        <v>3740</v>
      </c>
      <c r="R4" s="3256" t="s">
        <v>3741</v>
      </c>
    </row>
    <row r="5" spans="17:18">
      <c r="Q5" s="1148">
        <v>22</v>
      </c>
      <c r="R5" s="3257">
        <v>100</v>
      </c>
    </row>
    <row r="6" spans="17:18"/>
    <row r="7" spans="17:18"/>
    <row r="8" spans="17:18"/>
    <row r="9" spans="17:18"/>
    <row r="10" spans="17:18"/>
    <row r="11" spans="17:18"/>
    <row r="12" spans="17:18"/>
    <row r="13" spans="17:18"/>
    <row r="14" spans="17:18"/>
    <row r="15" spans="17:18"/>
    <row r="16" spans="17: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sheetData>
  <phoneticPr fontId="22"/>
  <pageMargins left="0.75" right="0.75" top="1" bottom="1" header="0.51200000000000001" footer="0.51200000000000001"/>
  <pageSetup paperSize="9" scale="50" orientation="portrait" r:id="rId1"/>
  <headerFooter alignWithMargins="0">
    <oddHeader>&amp;L&amp;F&amp;R&amp;A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C6" sqref="C6"/>
    </sheetView>
  </sheetViews>
  <sheetFormatPr defaultColWidth="0" defaultRowHeight="13.5" zeroHeight="1"/>
  <cols>
    <col min="1" max="1" width="0.875" style="901" customWidth="1"/>
    <col min="2" max="2" width="17.375" style="901" customWidth="1"/>
    <col min="3" max="3" width="1.125" style="902" customWidth="1"/>
    <col min="4" max="4" width="32.375" style="901" customWidth="1"/>
    <col min="5" max="5" width="11.125" style="2624" customWidth="1"/>
    <col min="6" max="6" width="21.25" style="901" customWidth="1"/>
    <col min="7" max="7" width="1.375" style="901" customWidth="1"/>
    <col min="8" max="16384" width="0" style="901" hidden="1"/>
  </cols>
  <sheetData>
    <row r="1" spans="2:8" s="888" customFormat="1" ht="21">
      <c r="B1" s="885" t="s">
        <v>2696</v>
      </c>
      <c r="C1" s="886"/>
      <c r="E1" s="3028" t="s">
        <v>3500</v>
      </c>
      <c r="F1" s="887" t="str">
        <f>メイン!C11</f>
        <v>○○ビル</v>
      </c>
    </row>
    <row r="2" spans="2:8" s="892" customFormat="1" thickBot="1">
      <c r="B2" s="889"/>
      <c r="C2" s="890"/>
      <c r="D2" s="890"/>
      <c r="E2" s="890"/>
      <c r="F2" s="890"/>
      <c r="G2" s="891"/>
      <c r="H2" s="891"/>
    </row>
    <row r="3" spans="2:8" s="888" customFormat="1" ht="21" customHeight="1" thickBot="1">
      <c r="B3" s="893"/>
      <c r="C3" s="894"/>
      <c r="D3" s="894" t="s">
        <v>2698</v>
      </c>
      <c r="E3" s="894"/>
      <c r="F3" s="895"/>
    </row>
    <row r="4" spans="2:8" s="897" customFormat="1" ht="81" customHeight="1" thickTop="1">
      <c r="B4" s="896" t="s">
        <v>2699</v>
      </c>
      <c r="C4" s="3029" t="s">
        <v>3501</v>
      </c>
      <c r="D4" s="3356" t="str">
        <f>C4</f>
        <v>　注）　設計における総合的なコンセプトを簡潔に記載してください。
　</v>
      </c>
      <c r="E4" s="3356"/>
      <c r="F4" s="3357"/>
    </row>
    <row r="5" spans="2:8" s="888" customFormat="1" ht="81" customHeight="1">
      <c r="B5" s="898" t="s">
        <v>2700</v>
      </c>
      <c r="C5" s="3030" t="s">
        <v>3502</v>
      </c>
      <c r="D5" s="3358" t="str">
        <f t="shared" ref="D5:D11" si="0">C5</f>
        <v>　注）　「Q1　室内環境」に対する配慮事項を簡潔に記載してください。</v>
      </c>
      <c r="E5" s="3358"/>
      <c r="F5" s="3359"/>
    </row>
    <row r="6" spans="2:8" s="888" customFormat="1" ht="81" customHeight="1">
      <c r="B6" s="898" t="s">
        <v>2701</v>
      </c>
      <c r="C6" s="3030" t="s">
        <v>3503</v>
      </c>
      <c r="D6" s="3358" t="str">
        <f t="shared" si="0"/>
        <v>　注）　「Q2　サービス性能」に対する配慮事項を簡潔に記載してください。</v>
      </c>
      <c r="E6" s="3358"/>
      <c r="F6" s="3359"/>
    </row>
    <row r="7" spans="2:8" s="888" customFormat="1" ht="81" customHeight="1">
      <c r="B7" s="898" t="s">
        <v>2702</v>
      </c>
      <c r="C7" s="3031" t="s">
        <v>3504</v>
      </c>
      <c r="D7" s="3358" t="str">
        <f t="shared" si="0"/>
        <v>　注）　「Q3　室外環境（敷地内）」に対する配慮事項を簡潔に記載してください。</v>
      </c>
      <c r="E7" s="3358"/>
      <c r="F7" s="3359"/>
    </row>
    <row r="8" spans="2:8" s="888" customFormat="1" ht="81" customHeight="1">
      <c r="B8" s="898" t="s">
        <v>1962</v>
      </c>
      <c r="C8" s="3031" t="s">
        <v>3505</v>
      </c>
      <c r="D8" s="3358" t="str">
        <f t="shared" si="0"/>
        <v>　注）　「LR1　エネルギー」に対する配慮事項を簡潔に記載してください。</v>
      </c>
      <c r="E8" s="3358"/>
      <c r="F8" s="3359"/>
    </row>
    <row r="9" spans="2:8" s="888" customFormat="1" ht="81" customHeight="1">
      <c r="B9" s="898" t="s">
        <v>2703</v>
      </c>
      <c r="C9" s="3031" t="s">
        <v>3506</v>
      </c>
      <c r="D9" s="3358" t="str">
        <f t="shared" si="0"/>
        <v>　注）　「LR2　資源・マテリアル」に対する配慮事項を簡潔に記載してください。</v>
      </c>
      <c r="E9" s="3358"/>
      <c r="F9" s="3359"/>
    </row>
    <row r="10" spans="2:8" s="888" customFormat="1" ht="81" customHeight="1" thickBot="1">
      <c r="B10" s="899" t="s">
        <v>2273</v>
      </c>
      <c r="C10" s="3032" t="s">
        <v>3507</v>
      </c>
      <c r="D10" s="3360" t="str">
        <f t="shared" si="0"/>
        <v>　注）　「LR3　敷地外環境」に対する配慮事項を簡潔に記載してください。</v>
      </c>
      <c r="E10" s="3360"/>
      <c r="F10" s="3361"/>
    </row>
    <row r="11" spans="2:8" s="888" customFormat="1" ht="108.75" customHeight="1" thickTop="1" thickBot="1">
      <c r="B11" s="900" t="s">
        <v>2704</v>
      </c>
      <c r="C11" s="3033" t="s">
        <v>3508</v>
      </c>
      <c r="D11" s="3354"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354"/>
      <c r="F11" s="3355"/>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algorithmName="SHA-512" hashValue="nbK3uc9KGdPkLqy5umTI5hVYoZr+AtwFoM38Z6KVXYvORFNbdK4rbLOMe9aiMZVZA/QPBsnAeoGWVQikpFgGIA==" saltValue="g9+I+Ndj0S+rsuJrE6CF9A==" spinCount="100000"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100"/>
  <sheetViews>
    <sheetView showGridLines="0" workbookViewId="0">
      <selection activeCell="B6" sqref="B6:D6"/>
    </sheetView>
  </sheetViews>
  <sheetFormatPr defaultColWidth="0" defaultRowHeight="0" customHeight="1" zeroHeight="1"/>
  <cols>
    <col min="1" max="1" width="2.875" style="91" customWidth="1"/>
    <col min="2" max="2" width="8.875" style="91" customWidth="1"/>
    <col min="3" max="3" width="8.625" style="91" customWidth="1"/>
    <col min="4" max="4" width="55.875" style="91" customWidth="1"/>
    <col min="5" max="5" width="2.5" style="91" customWidth="1"/>
    <col min="6" max="6" width="3.375" style="91" hidden="1" customWidth="1"/>
    <col min="7" max="18" width="7.75" style="91" hidden="1" customWidth="1"/>
    <col min="19" max="28" width="8" style="91" hidden="1" customWidth="1"/>
    <col min="29" max="16384" width="0" style="91" hidden="1"/>
  </cols>
  <sheetData>
    <row r="1" spans="1:9" ht="26.25" customHeight="1">
      <c r="A1" s="3062"/>
      <c r="B1" s="3064" t="s">
        <v>3562</v>
      </c>
      <c r="C1" s="3062"/>
      <c r="D1" s="3062"/>
      <c r="E1" s="3063"/>
    </row>
    <row r="2" spans="1:9" ht="11.25" customHeight="1">
      <c r="A2" s="3062"/>
      <c r="B2" s="3062"/>
      <c r="E2" s="3063"/>
    </row>
    <row r="3" spans="1:9" ht="14.25" thickBot="1">
      <c r="C3" s="3065"/>
      <c r="D3" s="1523"/>
      <c r="F3" s="3062"/>
      <c r="I3" s="3062"/>
    </row>
    <row r="4" spans="1:9" ht="20.100000000000001" customHeight="1">
      <c r="A4" s="3062"/>
      <c r="B4" s="3066" t="s">
        <v>3563</v>
      </c>
      <c r="C4" s="3067"/>
      <c r="D4" s="3068"/>
      <c r="E4" s="3063"/>
    </row>
    <row r="5" spans="1:9" ht="14.25" customHeight="1">
      <c r="A5" s="3062"/>
      <c r="B5" s="3069" t="s">
        <v>3564</v>
      </c>
      <c r="C5" s="3070"/>
      <c r="D5" s="3071"/>
      <c r="E5" s="3063"/>
    </row>
    <row r="6" spans="1:9" ht="55.5" customHeight="1">
      <c r="A6" s="3062"/>
      <c r="B6" s="3365"/>
      <c r="C6" s="3366"/>
      <c r="D6" s="3367"/>
      <c r="E6" s="3063"/>
    </row>
    <row r="7" spans="1:9" ht="14.25" customHeight="1">
      <c r="A7" s="3062"/>
      <c r="B7" s="3072" t="s">
        <v>3565</v>
      </c>
      <c r="C7" s="3073"/>
      <c r="D7" s="3074"/>
      <c r="E7" s="3063"/>
    </row>
    <row r="8" spans="1:9" ht="55.5" customHeight="1">
      <c r="A8" s="3062"/>
      <c r="B8" s="3365" t="s">
        <v>3572</v>
      </c>
      <c r="C8" s="3366"/>
      <c r="D8" s="3367"/>
      <c r="E8" s="3063"/>
    </row>
    <row r="9" spans="1:9" ht="20.100000000000001" customHeight="1">
      <c r="A9" s="3062"/>
      <c r="B9" s="3075" t="s">
        <v>3566</v>
      </c>
      <c r="C9" s="3076"/>
      <c r="D9" s="3077"/>
      <c r="E9" s="3063"/>
    </row>
    <row r="10" spans="1:9" ht="14.25" customHeight="1">
      <c r="A10" s="3062"/>
      <c r="B10" s="3078" t="s">
        <v>3561</v>
      </c>
      <c r="C10" s="3079"/>
      <c r="D10" s="3080"/>
      <c r="E10" s="3063"/>
    </row>
    <row r="11" spans="1:9" ht="55.5" customHeight="1">
      <c r="A11" s="3062"/>
      <c r="B11" s="3368"/>
      <c r="C11" s="3369"/>
      <c r="D11" s="3370"/>
      <c r="E11" s="3063"/>
    </row>
    <row r="12" spans="1:9" ht="14.25" customHeight="1">
      <c r="A12" s="3062"/>
      <c r="B12" s="3081" t="s">
        <v>3567</v>
      </c>
      <c r="C12" s="3082"/>
      <c r="D12" s="3083"/>
      <c r="E12" s="3063"/>
    </row>
    <row r="13" spans="1:9" ht="55.5" customHeight="1">
      <c r="A13" s="3062"/>
      <c r="B13" s="3368" t="s">
        <v>3573</v>
      </c>
      <c r="C13" s="3371"/>
      <c r="D13" s="3372"/>
      <c r="E13" s="3063"/>
    </row>
    <row r="14" spans="1:9" ht="20.100000000000001" customHeight="1">
      <c r="A14" s="3062"/>
      <c r="B14" s="3084" t="s">
        <v>3568</v>
      </c>
      <c r="C14" s="3085"/>
      <c r="D14" s="3086"/>
      <c r="E14" s="3063"/>
    </row>
    <row r="15" spans="1:9" ht="14.25" customHeight="1">
      <c r="A15" s="3062"/>
      <c r="B15" s="3087" t="s">
        <v>3569</v>
      </c>
      <c r="C15" s="3088"/>
      <c r="D15" s="3089"/>
      <c r="E15" s="3063"/>
    </row>
    <row r="16" spans="1:9" ht="55.5" customHeight="1">
      <c r="A16" s="3062"/>
      <c r="B16" s="3368"/>
      <c r="C16" s="3371"/>
      <c r="D16" s="3372"/>
      <c r="E16" s="3063"/>
    </row>
    <row r="17" spans="1:5" ht="14.25" customHeight="1">
      <c r="A17" s="3062"/>
      <c r="B17" s="3090" t="s">
        <v>3570</v>
      </c>
      <c r="C17" s="3091"/>
      <c r="D17" s="3092"/>
      <c r="E17" s="3063"/>
    </row>
    <row r="18" spans="1:5" ht="55.5" customHeight="1" thickBot="1">
      <c r="A18" s="3062"/>
      <c r="B18" s="3362" t="s">
        <v>3574</v>
      </c>
      <c r="C18" s="3363"/>
      <c r="D18" s="3364"/>
      <c r="E18" s="3063"/>
    </row>
    <row r="19" spans="1:5" ht="14.25" customHeight="1">
      <c r="A19" s="3062"/>
      <c r="B19" s="3062"/>
      <c r="C19" s="3062"/>
      <c r="D19" s="3062"/>
      <c r="E19" s="3063"/>
    </row>
    <row r="20" spans="1:5" ht="13.5">
      <c r="A20" s="3062"/>
      <c r="B20" s="3062"/>
      <c r="C20" s="3062"/>
      <c r="D20" s="3093" t="s">
        <v>3571</v>
      </c>
      <c r="E20" s="3063"/>
    </row>
    <row r="21" spans="1:5" ht="13.5">
      <c r="A21" s="3062"/>
      <c r="B21" s="3062"/>
      <c r="C21" s="3062"/>
      <c r="E21" s="3063"/>
    </row>
    <row r="22" spans="1:5" ht="13.5" hidden="1">
      <c r="A22" s="3062"/>
      <c r="E22" s="3063"/>
    </row>
    <row r="23" spans="1:5" ht="13.5" hidden="1">
      <c r="A23" s="3062"/>
      <c r="E23" s="3063"/>
    </row>
    <row r="24" spans="1:5" ht="13.5" hidden="1" customHeight="1">
      <c r="A24" s="3062"/>
      <c r="E24" s="3063"/>
    </row>
    <row r="25" spans="1:5" ht="13.5" hidden="1" customHeight="1">
      <c r="A25" s="3062"/>
      <c r="E25" s="3063"/>
    </row>
    <row r="26" spans="1:5" ht="13.5" hidden="1" customHeight="1">
      <c r="A26" s="3062"/>
      <c r="E26" s="3063"/>
    </row>
    <row r="27" spans="1:5" ht="14.25" hidden="1" customHeight="1">
      <c r="A27" s="3062"/>
      <c r="E27" s="3063"/>
    </row>
    <row r="28" spans="1:5" ht="13.5" hidden="1">
      <c r="A28" s="3062"/>
      <c r="E28" s="3063"/>
    </row>
    <row r="29" spans="1:5" ht="13.5" hidden="1">
      <c r="A29" s="3062"/>
      <c r="E29" s="3063"/>
    </row>
    <row r="30" spans="1:5" ht="13.5" hidden="1">
      <c r="A30" s="3062"/>
      <c r="E30" s="3063"/>
    </row>
    <row r="31" spans="1:5" ht="13.5" hidden="1"/>
    <row r="32" spans="1:5" ht="13.5" hidden="1"/>
    <row r="33" ht="13.5" hidden="1"/>
    <row r="34" ht="13.5" hidden="1"/>
    <row r="35" ht="13.5" hidden="1"/>
    <row r="36" ht="13.5" hidden="1"/>
    <row r="37" ht="13.5" hidden="1"/>
    <row r="38" ht="13.5" hidden="1"/>
    <row r="39" ht="13.5" hidden="1"/>
    <row r="40" ht="13.5" hidden="1"/>
    <row r="41" ht="13.5" hidden="1"/>
    <row r="42" ht="13.5" hidden="1"/>
    <row r="43" ht="13.5" hidden="1"/>
    <row r="44" ht="13.5" hidden="1"/>
    <row r="45" ht="13.5" hidden="1"/>
    <row r="46" ht="13.5" hidden="1"/>
    <row r="47" ht="13.5" hidden="1"/>
    <row r="48" ht="13.5" hidden="1"/>
    <row r="49" ht="13.5" hidden="1"/>
    <row r="50" ht="13.5" hidden="1"/>
    <row r="51" ht="13.5" hidden="1"/>
    <row r="52" ht="13.5" hidden="1"/>
    <row r="53" ht="13.5" hidden="1"/>
    <row r="54" ht="13.5" hidden="1"/>
    <row r="55" ht="13.5" hidden="1"/>
    <row r="56" ht="13.5" hidden="1"/>
    <row r="57" ht="13.5" hidden="1"/>
    <row r="58" ht="13.5" hidden="1"/>
    <row r="59" ht="13.5" hidden="1"/>
    <row r="60" ht="13.5" hidden="1"/>
    <row r="61" ht="13.5" hidden="1"/>
    <row r="62" ht="13.5" hidden="1"/>
    <row r="63" ht="13.5" hidden="1"/>
    <row r="64"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ht="13.5" hidden="1"/>
    <row r="98" ht="13.5" hidden="1"/>
    <row r="99" ht="13.5" hidden="1"/>
    <row r="100" ht="13.5" hidden="1"/>
  </sheetData>
  <sheetProtection algorithmName="SHA-512" hashValue="Fd+Yco68zePepR6svOiGEPurmHZm7G8cvplyjD831wPLa5nTN60O/CizucVi8y6a6LjIKfssZlSWzP+Maa5XwQ==" saltValue="yE/1rfmS8+XfCv1djMURmg==" spinCount="100000" sheet="1" objects="1" scenarios="1"/>
  <mergeCells count="6">
    <mergeCell ref="B18:D18"/>
    <mergeCell ref="B6:D6"/>
    <mergeCell ref="B8:D8"/>
    <mergeCell ref="B11:D11"/>
    <mergeCell ref="B13:D13"/>
    <mergeCell ref="B16:D16"/>
  </mergeCells>
  <phoneticPr fontId="22"/>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&amp;L&amp;F&amp;R&amp;A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C6" sqref="C6"/>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417" customWidth="1"/>
    <col min="13" max="13" width="11.375" style="241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466" t="s">
        <v>3147</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1760</v>
      </c>
      <c r="C3" s="98"/>
      <c r="D3" s="99"/>
      <c r="E3" s="100"/>
      <c r="F3" s="101"/>
      <c r="G3" s="91"/>
      <c r="H3" s="109" t="s">
        <v>2411</v>
      </c>
      <c r="I3" s="107"/>
      <c r="J3" s="107"/>
      <c r="K3" s="107"/>
      <c r="L3" s="107"/>
      <c r="M3" s="107"/>
      <c r="N3" s="110"/>
      <c r="O3" s="91"/>
      <c r="Q3" s="104">
        <v>0</v>
      </c>
      <c r="R3" s="91" t="s">
        <v>1761</v>
      </c>
      <c r="S3" s="91"/>
      <c r="T3" s="91"/>
      <c r="U3" s="91"/>
      <c r="V3" s="91"/>
      <c r="W3" s="91"/>
      <c r="X3" s="91"/>
      <c r="Y3" s="91"/>
      <c r="Z3" s="91"/>
      <c r="AA3" s="91"/>
      <c r="AB3" s="91"/>
      <c r="AC3" s="91"/>
      <c r="AD3" s="91"/>
      <c r="AE3" s="91"/>
    </row>
    <row r="4" spans="2:31">
      <c r="B4" s="105"/>
      <c r="C4" s="106" t="s">
        <v>1762</v>
      </c>
      <c r="D4" s="106" t="s">
        <v>1763</v>
      </c>
      <c r="E4" s="107"/>
      <c r="F4" s="108"/>
      <c r="H4" s="109" t="s">
        <v>2412</v>
      </c>
      <c r="I4" s="107"/>
      <c r="J4" s="107"/>
      <c r="K4" s="107"/>
      <c r="L4" s="107"/>
      <c r="M4" s="107"/>
      <c r="N4" s="110"/>
    </row>
    <row r="5" spans="2:31" ht="16.5">
      <c r="B5" s="105"/>
      <c r="C5" s="111" t="str">
        <f>IF($Q$7=0,"根拠を記入してください",$Q$7)</f>
        <v>根拠を記入してください</v>
      </c>
      <c r="D5" s="112" t="str">
        <f>IF($R$7=0,Q9,$R$7)</f>
        <v>N.A.</v>
      </c>
      <c r="E5" s="3027" t="s">
        <v>3498</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1764</v>
      </c>
      <c r="R6" t="s">
        <v>1765</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f>IF($Q$3=1,C10,IF($Q$3=2,C16,IF($Q$3=3,C20,IF($Q$3=4,C24,C28))))</f>
        <v>0</v>
      </c>
      <c r="R7">
        <f>IF($Q$3=1,D10,IF($Q$3=2,D16,IF($Q$3=3,D20,IF($Q$3=4,D24,D28))))</f>
        <v>0</v>
      </c>
    </row>
    <row r="8" spans="2:31">
      <c r="B8" s="105" t="s">
        <v>2413</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1762</v>
      </c>
      <c r="D9" s="117" t="s">
        <v>2414</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2415</v>
      </c>
    </row>
    <row r="10" spans="2:31" ht="16.5">
      <c r="B10" s="105"/>
      <c r="C10" s="118"/>
      <c r="D10" s="119"/>
      <c r="E10" s="3027" t="s">
        <v>3499</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2416</v>
      </c>
      <c r="C13" s="3373" t="s">
        <v>3149</v>
      </c>
      <c r="D13" s="3374"/>
      <c r="E13" s="3374"/>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374"/>
      <c r="D14" s="3374"/>
      <c r="E14" s="3374"/>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2417</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c r="D16" s="123" t="e">
        <f>VLOOKUP(C16,C89:D166,2)</f>
        <v>#N/A</v>
      </c>
      <c r="E16" s="3027" t="s">
        <v>3499</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2418</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1762</v>
      </c>
      <c r="D19" s="117" t="s">
        <v>2414</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7" t="s">
        <v>3499</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2419</v>
      </c>
      <c r="C22" s="107" t="s">
        <v>2420</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1766</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27" t="s">
        <v>3499</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2421</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1762</v>
      </c>
      <c r="D27" s="117" t="s">
        <v>2414</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7" t="s">
        <v>3499</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5">
      <c r="B83" s="124"/>
      <c r="C83" s="107"/>
      <c r="D83" s="107"/>
      <c r="E83" s="107"/>
      <c r="F83" s="108"/>
      <c r="H83" s="109"/>
      <c r="I83" s="107"/>
      <c r="J83" s="107"/>
      <c r="K83" s="3027" t="s">
        <v>3499</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7" t="s">
        <v>3499</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3082</v>
      </c>
      <c r="D89" s="132">
        <f>CO2データ!I118</f>
        <v>3.1599999999999998E-4</v>
      </c>
      <c r="F89" s="132">
        <f>CO2データ!K118</f>
        <v>5.5000000000000003E-4</v>
      </c>
      <c r="I89" s="133" t="s">
        <v>1093</v>
      </c>
      <c r="J89" t="str">
        <f>IF(C5=C16,VLOOKUP(C5,C89:F166,4),"N.A.")</f>
        <v>N.A.</v>
      </c>
    </row>
    <row r="90" spans="2:14" hidden="1">
      <c r="C90" s="1637" t="s">
        <v>3083</v>
      </c>
      <c r="D90" s="132">
        <f>CO2データ!I119</f>
        <v>3.1599999999999998E-4</v>
      </c>
      <c r="F90" s="132">
        <f>CO2データ!K119</f>
        <v>5.6099999999999998E-4</v>
      </c>
      <c r="I90" s="133" t="s">
        <v>1094</v>
      </c>
      <c r="J90" t="e">
        <f>D16-J89</f>
        <v>#N/A</v>
      </c>
    </row>
    <row r="91" spans="2:14" hidden="1">
      <c r="C91" s="1637" t="s">
        <v>3105</v>
      </c>
      <c r="D91" s="132">
        <f>CO2データ!I141</f>
        <v>5.3700000000000004E-4</v>
      </c>
      <c r="F91" s="132">
        <f>CO2データ!K141</f>
        <v>5.2400000000000005E-4</v>
      </c>
    </row>
    <row r="92" spans="2:14" hidden="1">
      <c r="C92" s="1637" t="s">
        <v>3097</v>
      </c>
      <c r="D92" s="132">
        <f>CO2データ!I133</f>
        <v>4.5399999999999998E-4</v>
      </c>
      <c r="F92" s="132">
        <f>CO2データ!K133</f>
        <v>3.9800000000000002E-4</v>
      </c>
    </row>
    <row r="93" spans="2:14" hidden="1">
      <c r="C93" s="1637" t="s">
        <v>3106</v>
      </c>
      <c r="D93" s="132">
        <f>CO2データ!I142</f>
        <v>1.7000000000000001E-4</v>
      </c>
      <c r="F93" s="132">
        <f>CO2データ!K142</f>
        <v>0</v>
      </c>
    </row>
    <row r="94" spans="2:14" hidden="1">
      <c r="C94" s="1637" t="s">
        <v>3094</v>
      </c>
      <c r="D94" s="132">
        <f>CO2データ!I130</f>
        <v>4.6200000000000001E-4</v>
      </c>
      <c r="F94" s="132">
        <f>CO2データ!K130</f>
        <v>4.4700000000000002E-4</v>
      </c>
    </row>
    <row r="95" spans="2:14" hidden="1">
      <c r="C95" s="1637" t="s">
        <v>3112</v>
      </c>
      <c r="D95" s="132">
        <f>CO2データ!I148</f>
        <v>2.5399999999999999E-4</v>
      </c>
      <c r="F95" s="132">
        <f>CO2データ!K148</f>
        <v>5.6099999999999998E-4</v>
      </c>
    </row>
    <row r="96" spans="2:14" hidden="1">
      <c r="C96" s="1637" t="s">
        <v>3091</v>
      </c>
      <c r="D96" s="132">
        <f>CO2データ!I127</f>
        <v>5.1099999999999995E-4</v>
      </c>
      <c r="F96" s="132">
        <f>CO2データ!K127</f>
        <v>4.9399999999999997E-4</v>
      </c>
    </row>
    <row r="97" spans="3:6" hidden="1">
      <c r="C97" s="1637" t="s">
        <v>3093</v>
      </c>
      <c r="D97" s="132">
        <f>CO2データ!I129</f>
        <v>1.06E-4</v>
      </c>
      <c r="F97" s="132">
        <f>CO2データ!K129</f>
        <v>7.4399999999999998E-4</v>
      </c>
    </row>
    <row r="98" spans="3:6" hidden="1">
      <c r="C98" s="1637" t="s">
        <v>3095</v>
      </c>
      <c r="D98" s="132">
        <f>CO2データ!I131</f>
        <v>4.15E-4</v>
      </c>
      <c r="F98" s="132">
        <f>CO2データ!K131</f>
        <v>5.53E-4</v>
      </c>
    </row>
    <row r="99" spans="3:6" hidden="1">
      <c r="C99" s="1637" t="s">
        <v>3096</v>
      </c>
      <c r="D99" s="132">
        <f>CO2データ!I132</f>
        <v>4.5399999999999998E-4</v>
      </c>
      <c r="F99" s="132">
        <f>CO2データ!K132</f>
        <v>4.6200000000000001E-4</v>
      </c>
    </row>
    <row r="100" spans="3:6" hidden="1">
      <c r="C100" s="1637" t="s">
        <v>3099</v>
      </c>
      <c r="D100" s="132">
        <f>CO2データ!I135</f>
        <v>4.9200000000000003E-4</v>
      </c>
      <c r="F100" s="132">
        <f>CO2データ!K135</f>
        <v>4.75E-4</v>
      </c>
    </row>
    <row r="101" spans="3:6" hidden="1">
      <c r="C101" s="1637" t="s">
        <v>3100</v>
      </c>
      <c r="D101" s="132">
        <f>CO2データ!I136</f>
        <v>4.7199999999999998E-4</v>
      </c>
      <c r="F101" s="132">
        <f>CO2データ!K136</f>
        <v>5.6800000000000004E-4</v>
      </c>
    </row>
    <row r="102" spans="3:6" hidden="1">
      <c r="C102" s="1637" t="s">
        <v>3101</v>
      </c>
      <c r="D102" s="132">
        <f>CO2データ!I137</f>
        <v>1.5300000000000001E-4</v>
      </c>
      <c r="F102" s="132">
        <f>CO2データ!K137</f>
        <v>5.9800000000000001E-4</v>
      </c>
    </row>
    <row r="103" spans="3:6" hidden="1">
      <c r="C103" s="1637" t="s">
        <v>3103</v>
      </c>
      <c r="D103" s="132">
        <f>CO2データ!I139</f>
        <v>3.7300000000000001E-4</v>
      </c>
      <c r="F103" s="132">
        <f>CO2データ!K139</f>
        <v>3.6000000000000002E-4</v>
      </c>
    </row>
    <row r="104" spans="3:6" hidden="1">
      <c r="C104" s="1637" t="s">
        <v>3104</v>
      </c>
      <c r="D104" s="132">
        <f>CO2データ!I140</f>
        <v>9.0000000000000002E-6</v>
      </c>
      <c r="F104" s="132">
        <f>CO2データ!K140</f>
        <v>9.0000000000000002E-6</v>
      </c>
    </row>
    <row r="105" spans="3:6" hidden="1">
      <c r="C105" s="1637" t="s">
        <v>3108</v>
      </c>
      <c r="D105" s="132">
        <f>CO2データ!I144</f>
        <v>4.9200000000000003E-4</v>
      </c>
      <c r="F105" s="132">
        <f>CO2データ!K144</f>
        <v>4.7699999999999999E-4</v>
      </c>
    </row>
    <row r="106" spans="3:6" hidden="1">
      <c r="C106" s="1637" t="s">
        <v>3109</v>
      </c>
      <c r="D106" s="132">
        <f>CO2データ!I145</f>
        <v>4.95E-4</v>
      </c>
      <c r="F106" s="132">
        <f>CO2データ!K145</f>
        <v>4.7899999999999999E-4</v>
      </c>
    </row>
    <row r="107" spans="3:6" hidden="1">
      <c r="C107" s="1637" t="s">
        <v>3110</v>
      </c>
      <c r="D107" s="132">
        <f>CO2データ!I146</f>
        <v>6.02E-4</v>
      </c>
      <c r="F107" s="132">
        <f>CO2データ!K146</f>
        <v>6.0099999999999997E-4</v>
      </c>
    </row>
    <row r="108" spans="3:6" hidden="1">
      <c r="C108" s="1637" t="s">
        <v>3113</v>
      </c>
      <c r="D108" s="132">
        <f>CO2データ!I149</f>
        <v>1.9000000000000001E-4</v>
      </c>
      <c r="F108" s="132">
        <f>CO2データ!K149</f>
        <v>6.9899999999999997E-4</v>
      </c>
    </row>
    <row r="109" spans="3:6" hidden="1">
      <c r="C109" s="1637" t="s">
        <v>3114</v>
      </c>
      <c r="D109" s="132">
        <f>CO2データ!I150</f>
        <v>5.8100000000000003E-4</v>
      </c>
      <c r="F109" s="132">
        <f>CO2データ!K150</f>
        <v>5.62E-4</v>
      </c>
    </row>
    <row r="110" spans="3:6" hidden="1">
      <c r="C110" s="1637" t="s">
        <v>3098</v>
      </c>
      <c r="D110" s="132">
        <f>CO2データ!I134</f>
        <v>5.4100000000000003E-4</v>
      </c>
      <c r="F110" s="132">
        <f>CO2データ!K134</f>
        <v>5.2800000000000004E-4</v>
      </c>
    </row>
    <row r="111" spans="3:6" hidden="1">
      <c r="C111" s="1637" t="s">
        <v>3092</v>
      </c>
      <c r="D111" s="132">
        <f>CO2データ!I128</f>
        <v>4.3999999999999999E-5</v>
      </c>
      <c r="F111" s="132">
        <f>CO2データ!K128</f>
        <v>4.1999999999999998E-5</v>
      </c>
    </row>
    <row r="112" spans="3:6" hidden="1">
      <c r="C112" s="1637" t="s">
        <v>3107</v>
      </c>
      <c r="D112" s="132">
        <f>CO2データ!I143</f>
        <v>4.8700000000000002E-4</v>
      </c>
      <c r="F112" s="132">
        <f>CO2データ!K143</f>
        <v>7.2800000000000002E-4</v>
      </c>
    </row>
    <row r="113" spans="3:6" hidden="1">
      <c r="C113" s="1637" t="s">
        <v>3111</v>
      </c>
      <c r="D113" s="132">
        <f>CO2データ!I147</f>
        <v>6.0999999999999997E-4</v>
      </c>
      <c r="F113" s="132">
        <f>CO2データ!K147</f>
        <v>6.96E-4</v>
      </c>
    </row>
    <row r="114" spans="3:6" hidden="1">
      <c r="C114" s="1637" t="s">
        <v>3102</v>
      </c>
      <c r="D114" s="132">
        <f>CO2データ!I138</f>
        <v>3.48E-4</v>
      </c>
      <c r="F114" s="132">
        <f>CO2データ!K138</f>
        <v>4.6799999999999999E-4</v>
      </c>
    </row>
    <row r="115" spans="3:6" hidden="1">
      <c r="C115" s="1637" t="s">
        <v>3118</v>
      </c>
      <c r="D115" s="132">
        <f>CO2データ!I154</f>
        <v>5.53E-4</v>
      </c>
      <c r="F115" s="132">
        <f>CO2データ!K154</f>
        <v>5.3399999999999997E-4</v>
      </c>
    </row>
    <row r="116" spans="3:6" hidden="1">
      <c r="C116" s="1637" t="s">
        <v>3117</v>
      </c>
      <c r="D116" s="132">
        <f>CO2データ!I153</f>
        <v>3.2499999999999999E-4</v>
      </c>
      <c r="F116" s="132">
        <f>CO2データ!K153</f>
        <v>3.0600000000000001E-4</v>
      </c>
    </row>
    <row r="117" spans="3:6" hidden="1">
      <c r="C117" s="1637" t="s">
        <v>3086</v>
      </c>
      <c r="D117" s="132">
        <f>CO2データ!I122</f>
        <v>2.5900000000000001E-4</v>
      </c>
      <c r="F117" s="132">
        <f>CO2データ!K122</f>
        <v>3.4200000000000002E-4</v>
      </c>
    </row>
    <row r="118" spans="3:6" hidden="1">
      <c r="C118" s="1637" t="s">
        <v>3079</v>
      </c>
      <c r="D118" s="132">
        <f>CO2データ!I115</f>
        <v>4.0999999999999999E-4</v>
      </c>
      <c r="F118" s="132">
        <f>CO2データ!K115</f>
        <v>3.3700000000000001E-4</v>
      </c>
    </row>
    <row r="119" spans="3:6" hidden="1">
      <c r="C119" s="1637" t="s">
        <v>3080</v>
      </c>
      <c r="D119" s="132">
        <f>CO2データ!I116</f>
        <v>1.9000000000000001E-4</v>
      </c>
      <c r="F119" s="132">
        <f>CO2データ!K116</f>
        <v>1.83E-4</v>
      </c>
    </row>
    <row r="120" spans="3:6" hidden="1">
      <c r="C120" s="1637" t="s">
        <v>3081</v>
      </c>
      <c r="D120" s="132">
        <f>CO2データ!I117</f>
        <v>6.6200000000000005E-4</v>
      </c>
      <c r="F120" s="132">
        <f>CO2データ!K117</f>
        <v>4.6900000000000002E-4</v>
      </c>
    </row>
    <row r="121" spans="3:6" hidden="1">
      <c r="C121" s="1637" t="s">
        <v>3087</v>
      </c>
      <c r="D121" s="132">
        <f>CO2データ!I123</f>
        <v>6.3400000000000001E-4</v>
      </c>
      <c r="F121" s="132">
        <f>CO2データ!K123</f>
        <v>2.0599999999999999E-4</v>
      </c>
    </row>
    <row r="122" spans="3:6" hidden="1">
      <c r="C122" s="1637" t="s">
        <v>3090</v>
      </c>
      <c r="D122" s="132">
        <f>CO2データ!I126</f>
        <v>4.9799999999999996E-4</v>
      </c>
      <c r="F122" s="132">
        <f>CO2データ!K126</f>
        <v>3.9300000000000001E-4</v>
      </c>
    </row>
    <row r="123" spans="3:6" hidden="1">
      <c r="C123" s="1637" t="s">
        <v>3116</v>
      </c>
      <c r="D123" s="132">
        <f>CO2データ!I152</f>
        <v>4.1300000000000001E-4</v>
      </c>
      <c r="F123" s="132">
        <f>CO2データ!K152</f>
        <v>5.0299999999999997E-4</v>
      </c>
    </row>
    <row r="124" spans="3:6" hidden="1">
      <c r="C124" s="1637" t="s">
        <v>3120</v>
      </c>
      <c r="D124" s="132">
        <f>CO2データ!I156</f>
        <v>4.1599999999999997E-4</v>
      </c>
      <c r="F124" s="132">
        <f>CO2データ!K156</f>
        <v>5.6300000000000002E-4</v>
      </c>
    </row>
    <row r="125" spans="3:6" hidden="1">
      <c r="C125" s="1637" t="s">
        <v>3127</v>
      </c>
      <c r="D125" s="132">
        <f>CO2データ!I163</f>
        <v>3.39E-4</v>
      </c>
      <c r="F125" s="132">
        <f>CO2データ!K163</f>
        <v>3.2299999999999999E-4</v>
      </c>
    </row>
    <row r="126" spans="3:6" hidden="1">
      <c r="C126" s="1637" t="s">
        <v>3130</v>
      </c>
      <c r="D126" s="132">
        <f>CO2データ!I166</f>
        <v>5.9900000000000003E-4</v>
      </c>
      <c r="F126" s="132">
        <f>CO2データ!K166</f>
        <v>9.2500000000000004E-4</v>
      </c>
    </row>
    <row r="127" spans="3:6" hidden="1">
      <c r="C127" s="1637" t="s">
        <v>3131</v>
      </c>
      <c r="D127" s="132">
        <f>CO2データ!I167</f>
        <v>4.8700000000000002E-4</v>
      </c>
      <c r="F127" s="132">
        <f>CO2データ!K167</f>
        <v>3.2699999999999998E-4</v>
      </c>
    </row>
    <row r="128" spans="3:6" hidden="1">
      <c r="C128" s="1637" t="s">
        <v>3133</v>
      </c>
      <c r="D128" s="132">
        <f>CO2データ!I169</f>
        <v>5.3899999999999998E-4</v>
      </c>
      <c r="F128" s="132">
        <f>CO2データ!K169</f>
        <v>5.2099999999999998E-4</v>
      </c>
    </row>
    <row r="129" spans="3:6" hidden="1">
      <c r="C129" s="1637" t="s">
        <v>3137</v>
      </c>
      <c r="D129" s="132">
        <f>CO2データ!I174</f>
        <v>6.2200000000000005E-4</v>
      </c>
      <c r="F129" s="132">
        <f>CO2データ!K174</f>
        <v>6.11E-4</v>
      </c>
    </row>
    <row r="130" spans="3:6" hidden="1">
      <c r="C130" s="1637" t="s">
        <v>3138</v>
      </c>
      <c r="D130" s="132">
        <f>CO2データ!I175</f>
        <v>1.1E-5</v>
      </c>
      <c r="F130" s="132">
        <f>CO2データ!K175</f>
        <v>2.6499999999999999E-4</v>
      </c>
    </row>
    <row r="131" spans="3:6" hidden="1">
      <c r="C131" s="1637" t="s">
        <v>3141</v>
      </c>
      <c r="D131" s="132">
        <f>CO2データ!I178</f>
        <v>3.1100000000000002E-4</v>
      </c>
      <c r="F131" s="132">
        <f>CO2データ!K178</f>
        <v>3.01E-4</v>
      </c>
    </row>
    <row r="132" spans="3:6" hidden="1">
      <c r="C132" s="1637" t="s">
        <v>3143</v>
      </c>
      <c r="D132" s="132">
        <f>CO2データ!I180</f>
        <v>4.66E-4</v>
      </c>
      <c r="F132" s="132">
        <f>CO2データ!K180</f>
        <v>4.9799999999999996E-4</v>
      </c>
    </row>
    <row r="133" spans="3:6" hidden="1">
      <c r="C133" s="1637" t="s">
        <v>3144</v>
      </c>
      <c r="D133" s="132">
        <f>CO2データ!I181</f>
        <v>5.8200000000000005E-4</v>
      </c>
      <c r="F133" s="132">
        <f>CO2データ!K181</f>
        <v>0</v>
      </c>
    </row>
    <row r="134" spans="3:6" hidden="1">
      <c r="C134" s="1637" t="s">
        <v>3145</v>
      </c>
      <c r="D134" s="132">
        <f>CO2データ!I182</f>
        <v>4.5399999999999998E-4</v>
      </c>
      <c r="F134" s="132">
        <f>CO2データ!K182</f>
        <v>4.3899999999999999E-4</v>
      </c>
    </row>
    <row r="135" spans="3:6" hidden="1">
      <c r="C135" s="1637" t="s">
        <v>3085</v>
      </c>
      <c r="D135" s="132">
        <f>CO2データ!I121</f>
        <v>5.6800000000000004E-4</v>
      </c>
      <c r="F135" s="132">
        <f>CO2データ!K121</f>
        <v>2.9399999999999999E-4</v>
      </c>
    </row>
    <row r="136" spans="3:6" hidden="1">
      <c r="C136" s="1637" t="s">
        <v>3088</v>
      </c>
      <c r="D136" s="132">
        <f>CO2データ!I124</f>
        <v>2.6600000000000001E-4</v>
      </c>
      <c r="F136" s="132">
        <f>CO2データ!K124</f>
        <v>6.2399999999999999E-4</v>
      </c>
    </row>
    <row r="137" spans="3:6" hidden="1">
      <c r="C137" s="1637" t="s">
        <v>3089</v>
      </c>
      <c r="D137" s="132">
        <f>CO2データ!I125</f>
        <v>4.3800000000000002E-4</v>
      </c>
      <c r="F137" s="132">
        <f>CO2データ!K125</f>
        <v>4.1899999999999999E-4</v>
      </c>
    </row>
    <row r="138" spans="3:6" hidden="1">
      <c r="C138" s="1637" t="s">
        <v>3078</v>
      </c>
      <c r="D138" s="132">
        <f>CO2データ!I114</f>
        <v>8.1599999999999999E-4</v>
      </c>
      <c r="F138" s="132">
        <f>CO2データ!K114</f>
        <v>8.1599999999999999E-4</v>
      </c>
    </row>
    <row r="139" spans="3:6" hidden="1">
      <c r="C139" s="1637" t="s">
        <v>3074</v>
      </c>
      <c r="D139" s="132">
        <f>CO2データ!I110</f>
        <v>5.31E-4</v>
      </c>
      <c r="F139" s="132">
        <f>CO2データ!K110</f>
        <v>5.2300000000000003E-4</v>
      </c>
    </row>
    <row r="140" spans="3:6" hidden="1">
      <c r="C140" s="1637" t="s">
        <v>3140</v>
      </c>
      <c r="D140" s="132">
        <f>CO2データ!I177</f>
        <v>4.8200000000000001E-4</v>
      </c>
      <c r="F140" s="132">
        <f>CO2データ!K177</f>
        <v>4.8700000000000002E-4</v>
      </c>
    </row>
    <row r="141" spans="3:6" hidden="1">
      <c r="C141" s="1637" t="s">
        <v>3115</v>
      </c>
      <c r="D141" s="132">
        <f>CO2データ!I151</f>
        <v>4.9399999999999997E-4</v>
      </c>
      <c r="F141" s="132">
        <f>CO2データ!K151</f>
        <v>4.7800000000000002E-4</v>
      </c>
    </row>
    <row r="142" spans="3:6" hidden="1">
      <c r="C142" s="1637" t="s">
        <v>3077</v>
      </c>
      <c r="D142" s="132">
        <f>CO2データ!I113</f>
        <v>5.8399999999999999E-4</v>
      </c>
      <c r="F142" s="132">
        <f>CO2データ!K113</f>
        <v>5.9800000000000001E-4</v>
      </c>
    </row>
    <row r="143" spans="3:6" hidden="1">
      <c r="C143" s="1637" t="s">
        <v>3142</v>
      </c>
      <c r="D143" s="132">
        <f>CO2データ!I179</f>
        <v>0</v>
      </c>
      <c r="F143" s="132">
        <f>CO2データ!K179</f>
        <v>0</v>
      </c>
    </row>
    <row r="144" spans="3:6" hidden="1">
      <c r="C144" s="1637" t="s">
        <v>3076</v>
      </c>
      <c r="D144" s="132">
        <f>CO2データ!I112</f>
        <v>6.7599999999999995E-4</v>
      </c>
      <c r="F144" s="132">
        <f>CO2データ!K112</f>
        <v>6.8800000000000003E-4</v>
      </c>
    </row>
    <row r="145" spans="3:6" hidden="1">
      <c r="C145" s="1637" t="s">
        <v>3119</v>
      </c>
      <c r="D145" s="132">
        <f>CO2データ!I155</f>
        <v>3.6000000000000001E-5</v>
      </c>
      <c r="F145" s="132">
        <f>CO2データ!K155</f>
        <v>5.7600000000000001E-4</v>
      </c>
    </row>
    <row r="146" spans="3:6" hidden="1">
      <c r="C146" s="1637" t="s">
        <v>3084</v>
      </c>
      <c r="D146" s="132">
        <f>CO2データ!I120</f>
        <v>2.5300000000000002E-4</v>
      </c>
      <c r="F146" s="132">
        <f>CO2データ!K120</f>
        <v>7.3899999999999997E-4</v>
      </c>
    </row>
    <row r="147" spans="3:6" hidden="1">
      <c r="C147" s="1637" t="s">
        <v>3121</v>
      </c>
      <c r="D147" s="132">
        <f>CO2データ!I157</f>
        <v>3.7199999999999999E-4</v>
      </c>
      <c r="F147" s="132">
        <f>CO2データ!K157</f>
        <v>3.5300000000000002E-4</v>
      </c>
    </row>
    <row r="148" spans="3:6" hidden="1">
      <c r="C148" s="1637" t="s">
        <v>3122</v>
      </c>
      <c r="D148" s="132">
        <f>CO2データ!I158</f>
        <v>5.5999999999999995E-4</v>
      </c>
      <c r="F148" s="132">
        <f>CO2データ!K158</f>
        <v>5.6999999999999998E-4</v>
      </c>
    </row>
    <row r="149" spans="3:6" hidden="1">
      <c r="C149" s="1637" t="s">
        <v>3124</v>
      </c>
      <c r="D149" s="132">
        <f>CO2データ!I160</f>
        <v>3.2899999999999997E-4</v>
      </c>
      <c r="F149" s="132">
        <f>CO2データ!K160</f>
        <v>3.1E-4</v>
      </c>
    </row>
    <row r="150" spans="3:6" hidden="1">
      <c r="C150" s="1637" t="s">
        <v>3125</v>
      </c>
      <c r="D150" s="132">
        <f>CO2データ!I161</f>
        <v>6.3599999999999996E-4</v>
      </c>
      <c r="F150" s="132">
        <f>CO2データ!K161</f>
        <v>6.1499999999999999E-4</v>
      </c>
    </row>
    <row r="151" spans="3:6" hidden="1">
      <c r="C151" s="1637" t="s">
        <v>3126</v>
      </c>
      <c r="D151" s="132">
        <f>CO2データ!I162</f>
        <v>5.6599999999999999E-4</v>
      </c>
      <c r="F151" s="132">
        <f>CO2データ!K162</f>
        <v>5.4699999999999996E-4</v>
      </c>
    </row>
    <row r="152" spans="3:6" hidden="1">
      <c r="C152" s="1637" t="s">
        <v>3128</v>
      </c>
      <c r="D152" s="132">
        <f>CO2データ!I164</f>
        <v>5.1900000000000004E-4</v>
      </c>
      <c r="F152" s="132">
        <f>CO2データ!K164</f>
        <v>5.0100000000000003E-4</v>
      </c>
    </row>
    <row r="153" spans="3:6" hidden="1">
      <c r="C153" s="1637" t="s">
        <v>3129</v>
      </c>
      <c r="D153" s="132">
        <f>CO2データ!I165</f>
        <v>5.5999999999999995E-4</v>
      </c>
      <c r="F153" s="132">
        <f>CO2データ!K165</f>
        <v>5.4100000000000003E-4</v>
      </c>
    </row>
    <row r="154" spans="3:6" hidden="1">
      <c r="C154" s="1637" t="s">
        <v>3075</v>
      </c>
      <c r="D154" s="132">
        <f>CO2データ!I111</f>
        <v>7.0600000000000003E-4</v>
      </c>
      <c r="F154" s="132">
        <f>CO2データ!K111</f>
        <v>7.0899999999999999E-4</v>
      </c>
    </row>
    <row r="155" spans="3:6" hidden="1">
      <c r="C155" s="1637" t="s">
        <v>3072</v>
      </c>
      <c r="D155" s="132">
        <f>CO2データ!I108</f>
        <v>4.9700000000000005E-4</v>
      </c>
      <c r="F155" s="132">
        <f>CO2データ!K108</f>
        <v>4.9399999999999997E-4</v>
      </c>
    </row>
    <row r="156" spans="3:6" hidden="1">
      <c r="C156" s="1637" t="s">
        <v>3132</v>
      </c>
      <c r="D156" s="132">
        <f>CO2データ!I168</f>
        <v>7.1000000000000005E-5</v>
      </c>
      <c r="F156" s="132">
        <f>CO2データ!K168</f>
        <v>1.4899999999999999E-4</v>
      </c>
    </row>
    <row r="157" spans="3:6" hidden="1">
      <c r="C157" s="1637" t="s">
        <v>3071</v>
      </c>
      <c r="D157" s="132">
        <f>CO2データ!I107</f>
        <v>5.0500000000000002E-4</v>
      </c>
      <c r="F157" s="132">
        <f>CO2データ!K107</f>
        <v>4.9600000000000002E-4</v>
      </c>
    </row>
    <row r="158" spans="3:6" hidden="1">
      <c r="C158" s="1637" t="s">
        <v>3070</v>
      </c>
      <c r="D158" s="132">
        <f>CO2データ!I106</f>
        <v>5.71E-4</v>
      </c>
      <c r="F158" s="132">
        <f>CO2データ!K106</f>
        <v>5.7300000000000005E-4</v>
      </c>
    </row>
    <row r="159" spans="3:6" hidden="1">
      <c r="C159" s="1637" t="s">
        <v>3134</v>
      </c>
      <c r="D159" s="132">
        <f>CO2データ!I170</f>
        <v>3.6499999999999998E-4</v>
      </c>
      <c r="F159" s="132">
        <f>CO2データ!K170</f>
        <v>4.0999999999999999E-4</v>
      </c>
    </row>
    <row r="160" spans="3:6" hidden="1">
      <c r="C160" s="1637" t="s">
        <v>3135</v>
      </c>
      <c r="D160" s="132">
        <f>CO2データ!I171</f>
        <v>0</v>
      </c>
      <c r="F160" s="132">
        <f>CO2データ!K171</f>
        <v>1.4790000000000001E-3</v>
      </c>
    </row>
    <row r="161" spans="3:6" hidden="1">
      <c r="C161" s="1637" t="s">
        <v>3136</v>
      </c>
      <c r="D161" s="132">
        <f>CO2データ!I172</f>
        <v>5.3200000000000003E-4</v>
      </c>
      <c r="F161" s="132">
        <f>CO2データ!K172</f>
        <v>5.8799999999999998E-4</v>
      </c>
    </row>
    <row r="162" spans="3:6" hidden="1">
      <c r="C162" s="1637" t="s">
        <v>1884</v>
      </c>
      <c r="D162" s="132">
        <f>CO2データ!I173</f>
        <v>3.86E-4</v>
      </c>
      <c r="F162" s="132">
        <f>CO2データ!K173</f>
        <v>5.5199999999999997E-4</v>
      </c>
    </row>
    <row r="163" spans="3:6" hidden="1">
      <c r="C163" s="1637" t="s">
        <v>3148</v>
      </c>
      <c r="D163" s="132">
        <f>CO2データ!I105</f>
        <v>6.8300000000000001E-4</v>
      </c>
      <c r="F163" s="132">
        <f>CO2データ!K105</f>
        <v>6.8800000000000003E-4</v>
      </c>
    </row>
    <row r="164" spans="3:6" hidden="1">
      <c r="C164" s="1637" t="s">
        <v>3073</v>
      </c>
      <c r="D164" s="132">
        <f>CO2データ!I109</f>
        <v>6.4700000000000001E-4</v>
      </c>
      <c r="F164" s="132">
        <f>CO2データ!K109</f>
        <v>6.4000000000000005E-4</v>
      </c>
    </row>
    <row r="165" spans="3:6" hidden="1">
      <c r="C165" s="1637" t="s">
        <v>3139</v>
      </c>
      <c r="D165" s="132">
        <f>CO2データ!I176</f>
        <v>5.8E-4</v>
      </c>
      <c r="F165" s="132">
        <f>CO2データ!K176</f>
        <v>5.5999999999999995E-4</v>
      </c>
    </row>
    <row r="166" spans="3:6" hidden="1">
      <c r="C166" s="1637" t="s">
        <v>3123</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heetProtection algorithmName="SHA-512" hashValue="W7Q7K6P6io5XqyvpsSAAw0xVQErZMrH0cxpP/ZtbngOvgqekDla6gt2/n1joLjY1cunjcenWOpKgrs+TBMDUjw==" saltValue="uWueDz2h+JuZpIlPl39P0A==" spinCount="100000" sheet="1" objects="1" scenarios="1"/>
  <sortState ref="C50:F127">
    <sortCondition ref="C50:C127"/>
  </sortState>
  <mergeCells count="1">
    <mergeCell ref="C13:E14"/>
  </mergeCells>
  <phoneticPr fontId="22"/>
  <conditionalFormatting sqref="C16">
    <cfRule type="expression" dxfId="225" priority="1" stopIfTrue="1">
      <formula>$Q$3=2</formula>
    </cfRule>
  </conditionalFormatting>
  <conditionalFormatting sqref="C10:D10">
    <cfRule type="expression" dxfId="224" priority="2" stopIfTrue="1">
      <formula>$Q$3=1</formula>
    </cfRule>
  </conditionalFormatting>
  <conditionalFormatting sqref="C20:D20">
    <cfRule type="expression" dxfId="223" priority="3" stopIfTrue="1">
      <formula>$Q$3=3</formula>
    </cfRule>
  </conditionalFormatting>
  <conditionalFormatting sqref="C28:D28">
    <cfRule type="expression" dxfId="22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topLeftCell="A65" zoomScaleNormal="100" zoomScaleSheetLayoutView="100" workbookViewId="0">
      <selection activeCell="F68" sqref="F68"/>
    </sheetView>
  </sheetViews>
  <sheetFormatPr defaultColWidth="0" defaultRowHeight="13.5" zeroHeight="1"/>
  <cols>
    <col min="1" max="1" width="1.375" customWidth="1"/>
    <col min="2" max="2" width="8.875" hidden="1" customWidth="1"/>
    <col min="3" max="3" width="6" hidden="1" customWidth="1"/>
    <col min="4" max="4" width="5" style="227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2697</v>
      </c>
      <c r="N1" s="906" t="str">
        <f>メイン!C11</f>
        <v>○○ビル</v>
      </c>
      <c r="O1" s="907"/>
      <c r="R1" t="s">
        <v>1335</v>
      </c>
    </row>
    <row r="2" spans="2:21" ht="8.25" customHeight="1" thickBot="1">
      <c r="D2" s="908"/>
      <c r="E2" s="909"/>
      <c r="F2" s="909"/>
      <c r="G2" s="909"/>
      <c r="H2" s="909"/>
      <c r="I2" s="909"/>
      <c r="J2" s="909"/>
      <c r="K2" s="909"/>
      <c r="L2" s="909"/>
      <c r="M2" s="909"/>
      <c r="N2" s="909"/>
      <c r="O2" s="909"/>
    </row>
    <row r="3" spans="2:21" ht="18.75" thickBot="1">
      <c r="D3" s="1388" t="s">
        <v>1963</v>
      </c>
      <c r="E3" s="910"/>
      <c r="F3" s="909"/>
      <c r="G3" s="909"/>
      <c r="H3" s="909"/>
      <c r="I3" s="911"/>
      <c r="J3" s="912" t="s">
        <v>2576</v>
      </c>
      <c r="K3" s="913"/>
      <c r="L3" s="913"/>
      <c r="M3" s="909"/>
      <c r="N3" s="909"/>
      <c r="O3" s="914" t="str">
        <f>IF(メイン!E39=0,"",メイン!E39)</f>
        <v/>
      </c>
      <c r="R3" t="s">
        <v>1361</v>
      </c>
      <c r="T3" t="s">
        <v>3340</v>
      </c>
      <c r="U3" t="str">
        <f>メイン!I37</f>
        <v>基本設計段階</v>
      </c>
    </row>
    <row r="4" spans="2:21" ht="6" customHeight="1">
      <c r="D4" s="908"/>
      <c r="E4" s="910"/>
      <c r="F4" s="909"/>
      <c r="G4" s="909"/>
      <c r="H4" s="909"/>
      <c r="I4" s="909"/>
      <c r="J4" s="909"/>
      <c r="K4" s="909"/>
      <c r="L4" s="909"/>
      <c r="M4" s="909"/>
      <c r="N4" s="909"/>
      <c r="O4" s="909"/>
      <c r="S4" t="s">
        <v>1964</v>
      </c>
      <c r="T4" t="s">
        <v>1965</v>
      </c>
      <c r="U4" t="str">
        <f>メイン!I38</f>
        <v>実施設計段階</v>
      </c>
    </row>
    <row r="5" spans="2:21" ht="15.75">
      <c r="D5" s="1326">
        <v>1</v>
      </c>
      <c r="E5" s="915" t="s">
        <v>1362</v>
      </c>
      <c r="F5" s="915"/>
      <c r="G5" s="915"/>
      <c r="H5" s="916"/>
      <c r="I5" s="916"/>
      <c r="J5" s="916"/>
      <c r="K5" s="916"/>
      <c r="L5" s="916"/>
      <c r="M5" s="916"/>
      <c r="N5" s="916"/>
      <c r="O5" s="916"/>
      <c r="U5" t="str">
        <f>メイン!I39</f>
        <v>竣工段階</v>
      </c>
    </row>
    <row r="6" spans="2:21" ht="15.75">
      <c r="D6" s="1326">
        <v>1.1000000000000001</v>
      </c>
      <c r="E6" s="917" t="s">
        <v>957</v>
      </c>
      <c r="F6" s="915"/>
      <c r="G6" s="915"/>
      <c r="H6" s="916"/>
      <c r="I6" s="916"/>
      <c r="J6" s="999" t="str">
        <f>IF(OR(F8=0,AND(J7=0,O7=0)),$R$3,"")</f>
        <v/>
      </c>
      <c r="K6" s="916"/>
      <c r="L6" s="916"/>
      <c r="M6" s="916"/>
      <c r="N6" s="916"/>
      <c r="O6" s="922" t="s">
        <v>1966</v>
      </c>
      <c r="U6">
        <f>メイン!Q42</f>
        <v>0</v>
      </c>
    </row>
    <row r="7" spans="2:21" ht="15.75" customHeight="1" thickBot="1">
      <c r="E7" s="913"/>
      <c r="F7" s="923" t="s">
        <v>1967</v>
      </c>
      <c r="G7" s="924"/>
      <c r="H7" s="925"/>
      <c r="I7" s="926" t="s">
        <v>1364</v>
      </c>
      <c r="J7" s="927">
        <f>重み!M11</f>
        <v>0.4</v>
      </c>
      <c r="K7" s="928"/>
      <c r="L7" s="923" t="s">
        <v>1968</v>
      </c>
      <c r="M7" s="924"/>
      <c r="N7" s="926" t="s">
        <v>1364</v>
      </c>
      <c r="O7" s="929">
        <f>重み!N11</f>
        <v>0</v>
      </c>
    </row>
    <row r="8" spans="2:21" ht="27" customHeight="1" thickBot="1">
      <c r="E8" s="913"/>
      <c r="F8" s="930">
        <v>4</v>
      </c>
      <c r="G8" s="931" t="s">
        <v>3330</v>
      </c>
      <c r="H8" s="2440" t="s">
        <v>3056</v>
      </c>
      <c r="I8" s="933" t="s">
        <v>3058</v>
      </c>
      <c r="J8" s="932" t="s">
        <v>3057</v>
      </c>
      <c r="K8" s="931" t="s">
        <v>1365</v>
      </c>
      <c r="L8" s="930">
        <v>3</v>
      </c>
      <c r="M8" s="934" t="s">
        <v>1366</v>
      </c>
      <c r="N8" s="935"/>
      <c r="O8" s="936"/>
    </row>
    <row r="9" spans="2:21" ht="27" customHeight="1">
      <c r="B9" s="1">
        <v>1</v>
      </c>
      <c r="C9" s="1">
        <v>1</v>
      </c>
      <c r="E9" s="913"/>
      <c r="F9" s="2771" t="str">
        <f>IF(F8=$S$14,$T$9,IF(ROUNDDOWN(F8,0)=$S$9,$U$9,$T$9))</f>
        <v>　レベル　1</v>
      </c>
      <c r="G9" s="938" t="s">
        <v>1367</v>
      </c>
      <c r="H9" s="938" t="s">
        <v>1368</v>
      </c>
      <c r="I9" s="938" t="s">
        <v>1369</v>
      </c>
      <c r="J9" s="938" t="s">
        <v>1370</v>
      </c>
      <c r="K9" s="938" t="s">
        <v>2173</v>
      </c>
      <c r="L9" s="937" t="str">
        <f>IF(L8=$S$14,$T$9,IF(ROUNDDOWN(L8,0)=$S$9,$U$9,$T$9))</f>
        <v>　レベル　1</v>
      </c>
      <c r="M9" s="939" t="s">
        <v>2174</v>
      </c>
      <c r="N9" s="940"/>
      <c r="O9" s="941"/>
      <c r="S9">
        <v>1</v>
      </c>
      <c r="T9" t="s">
        <v>2175</v>
      </c>
      <c r="U9" t="s">
        <v>2176</v>
      </c>
    </row>
    <row r="10" spans="2:21" ht="27" customHeight="1">
      <c r="B10" s="1">
        <v>2</v>
      </c>
      <c r="C10" s="1" t="s">
        <v>2177</v>
      </c>
      <c r="E10" s="913"/>
      <c r="F10" s="942" t="str">
        <f>IF(F8=$S$14,$T$10,IF(ROUNDDOWN(F8,0)=$S$10,$U$10,$T$10))</f>
        <v>　レベル　2</v>
      </c>
      <c r="G10" s="943" t="s">
        <v>2178</v>
      </c>
      <c r="H10" s="943" t="s">
        <v>2178</v>
      </c>
      <c r="I10" s="944" t="s">
        <v>2178</v>
      </c>
      <c r="J10" s="944" t="s">
        <v>2178</v>
      </c>
      <c r="K10" s="945" t="s">
        <v>2179</v>
      </c>
      <c r="L10" s="942" t="str">
        <f>IF(L8=$S$14,$T$10,IF(ROUNDDOWN(L8,0)=$S$10,$U$10,$T$10))</f>
        <v>　レベル　2</v>
      </c>
      <c r="M10" s="946" t="s">
        <v>2178</v>
      </c>
      <c r="N10" s="947"/>
      <c r="O10" s="948"/>
      <c r="S10">
        <v>2</v>
      </c>
      <c r="T10" t="s">
        <v>1336</v>
      </c>
      <c r="U10" t="s">
        <v>1337</v>
      </c>
    </row>
    <row r="11" spans="2:21" ht="27" customHeight="1">
      <c r="B11" s="1">
        <v>3</v>
      </c>
      <c r="C11" s="1">
        <v>3</v>
      </c>
      <c r="E11" s="913"/>
      <c r="F11" s="942" t="str">
        <f>IF(F8=$S$14,$T$11,IF(ROUNDDOWN(F8,0)=$S$11,$U$11,$T$11))</f>
        <v>　レベル　3</v>
      </c>
      <c r="G11" s="945" t="s">
        <v>1338</v>
      </c>
      <c r="H11" s="945" t="s">
        <v>1339</v>
      </c>
      <c r="I11" s="945" t="s">
        <v>1340</v>
      </c>
      <c r="J11" s="949" t="s">
        <v>1341</v>
      </c>
      <c r="K11" s="945" t="s">
        <v>1338</v>
      </c>
      <c r="L11" s="942" t="str">
        <f>IF(L8=$S$14,$T$11,IF(ROUNDDOWN(L8,0)=$S$11,$U$11,$T$11))</f>
        <v>■レベル　3</v>
      </c>
      <c r="M11" s="946" t="s">
        <v>1339</v>
      </c>
      <c r="N11" s="947"/>
      <c r="O11" s="948"/>
      <c r="S11">
        <v>3</v>
      </c>
      <c r="T11" t="s">
        <v>1342</v>
      </c>
      <c r="U11" t="s">
        <v>1343</v>
      </c>
    </row>
    <row r="12" spans="2:21" ht="27" customHeight="1">
      <c r="B12" s="1">
        <v>4</v>
      </c>
      <c r="C12" s="1">
        <v>4</v>
      </c>
      <c r="E12" s="913"/>
      <c r="F12" s="942" t="str">
        <f>IF(F8=$S$14,$T$12,IF(ROUNDDOWN(F8,0)=$S$12,$U$12,$T$12))</f>
        <v>■レベル　4</v>
      </c>
      <c r="G12" s="950" t="s">
        <v>1339</v>
      </c>
      <c r="H12" s="951" t="s">
        <v>1341</v>
      </c>
      <c r="I12" s="952" t="s">
        <v>1338</v>
      </c>
      <c r="J12" s="952" t="s">
        <v>1344</v>
      </c>
      <c r="K12" s="950" t="s">
        <v>1345</v>
      </c>
      <c r="L12" s="942" t="str">
        <f>IF(L8=$S$14,$T$12,IF(ROUNDDOWN(L8,0)=$S$12,$U$12,$T$12))</f>
        <v>　レベル　4</v>
      </c>
      <c r="M12" s="946" t="s">
        <v>1220</v>
      </c>
      <c r="N12" s="947"/>
      <c r="O12" s="948"/>
      <c r="S12">
        <v>4</v>
      </c>
      <c r="T12" t="s">
        <v>1221</v>
      </c>
      <c r="U12" t="s">
        <v>1222</v>
      </c>
    </row>
    <row r="13" spans="2:21" ht="27" customHeight="1">
      <c r="B13" s="1">
        <v>5</v>
      </c>
      <c r="C13" s="1">
        <v>5</v>
      </c>
      <c r="E13" s="913"/>
      <c r="F13" s="953" t="str">
        <f>IF(F8=$S$14,$T$13,IF(ROUNDDOWN(F8,0)=$S$13,$U$13,$T$13))</f>
        <v>　レベル　5</v>
      </c>
      <c r="G13" s="954" t="s">
        <v>1223</v>
      </c>
      <c r="H13" s="955" t="s">
        <v>1224</v>
      </c>
      <c r="I13" s="956" t="s">
        <v>1225</v>
      </c>
      <c r="J13" s="956" t="s">
        <v>1226</v>
      </c>
      <c r="K13" s="954" t="s">
        <v>1227</v>
      </c>
      <c r="L13" s="953" t="str">
        <f>IF(L8=$S$14,$T$13,IF(ROUNDDOWN(L8,0)=$S$13,$U$13,$T$13))</f>
        <v>　レベル　5</v>
      </c>
      <c r="M13" s="957" t="s">
        <v>1227</v>
      </c>
      <c r="N13" s="958"/>
      <c r="O13" s="959"/>
      <c r="S13">
        <v>5</v>
      </c>
      <c r="T13" t="s">
        <v>1228</v>
      </c>
      <c r="U13" t="s">
        <v>1229</v>
      </c>
    </row>
    <row r="14" spans="2:21">
      <c r="B14" s="960">
        <v>0</v>
      </c>
      <c r="C14" s="960">
        <v>0</v>
      </c>
      <c r="E14" s="913"/>
      <c r="F14" s="961" t="s">
        <v>1230</v>
      </c>
      <c r="G14" s="962"/>
      <c r="H14" s="962"/>
      <c r="I14" s="962"/>
      <c r="J14" s="962"/>
      <c r="K14" s="962"/>
      <c r="L14" s="962"/>
      <c r="M14" s="962"/>
      <c r="N14" s="962"/>
      <c r="O14" s="962"/>
      <c r="S14">
        <v>0</v>
      </c>
      <c r="T14" t="s">
        <v>1732</v>
      </c>
      <c r="U14" t="s">
        <v>1732</v>
      </c>
    </row>
    <row r="15" spans="2:21">
      <c r="E15" s="913"/>
      <c r="F15" s="963" t="s">
        <v>3051</v>
      </c>
      <c r="G15" s="964" t="s">
        <v>1733</v>
      </c>
      <c r="H15" s="964" t="s">
        <v>1734</v>
      </c>
      <c r="I15" s="964" t="s">
        <v>1735</v>
      </c>
      <c r="J15" s="964" t="s">
        <v>1736</v>
      </c>
      <c r="K15" s="964" t="s">
        <v>1737</v>
      </c>
      <c r="L15" s="964" t="s">
        <v>1738</v>
      </c>
      <c r="M15" s="964" t="s">
        <v>1739</v>
      </c>
      <c r="N15" s="964" t="s">
        <v>1740</v>
      </c>
      <c r="O15" s="964" t="s">
        <v>1741</v>
      </c>
    </row>
    <row r="16" spans="2:21">
      <c r="E16" s="913"/>
      <c r="F16" s="963" t="s">
        <v>1742</v>
      </c>
      <c r="G16" s="965" t="s">
        <v>1743</v>
      </c>
      <c r="H16" s="965" t="s">
        <v>1744</v>
      </c>
      <c r="I16" s="965" t="s">
        <v>1745</v>
      </c>
      <c r="J16" s="965" t="s">
        <v>1095</v>
      </c>
      <c r="K16" s="965" t="s">
        <v>1096</v>
      </c>
      <c r="L16" s="965" t="s">
        <v>1097</v>
      </c>
      <c r="M16" s="965" t="s">
        <v>1098</v>
      </c>
      <c r="N16" s="965" t="s">
        <v>1099</v>
      </c>
      <c r="O16" s="965" t="s">
        <v>1100</v>
      </c>
    </row>
    <row r="17" spans="5:15">
      <c r="E17" s="913"/>
      <c r="F17" s="966" t="s">
        <v>1101</v>
      </c>
      <c r="G17" s="967" t="s">
        <v>1231</v>
      </c>
      <c r="H17" s="968" t="s">
        <v>1232</v>
      </c>
      <c r="I17" s="968"/>
      <c r="J17" s="968"/>
      <c r="K17" s="968" t="s">
        <v>1233</v>
      </c>
      <c r="L17" s="968"/>
      <c r="M17" s="969" t="s">
        <v>1234</v>
      </c>
      <c r="N17" s="968"/>
      <c r="O17" s="2836" t="s">
        <v>1235</v>
      </c>
    </row>
    <row r="18" spans="5:15">
      <c r="E18" s="913"/>
      <c r="F18" s="3375" t="s">
        <v>1236</v>
      </c>
      <c r="G18" s="970"/>
      <c r="H18" s="971"/>
      <c r="I18" s="972" t="s">
        <v>1237</v>
      </c>
      <c r="J18" s="972"/>
      <c r="K18" s="973" t="s">
        <v>1238</v>
      </c>
      <c r="L18" s="971"/>
      <c r="M18" s="973" t="s">
        <v>1239</v>
      </c>
      <c r="N18" s="971"/>
      <c r="O18" s="974" t="s">
        <v>1240</v>
      </c>
    </row>
    <row r="19" spans="5:15">
      <c r="E19" s="913"/>
      <c r="F19" s="3376"/>
      <c r="G19" s="975"/>
      <c r="H19" s="976"/>
      <c r="I19" s="977" t="s">
        <v>1102</v>
      </c>
      <c r="J19" s="976"/>
      <c r="K19" s="978" t="s">
        <v>1103</v>
      </c>
      <c r="L19" s="979" t="s">
        <v>1104</v>
      </c>
      <c r="M19" s="978" t="s">
        <v>1105</v>
      </c>
      <c r="N19" s="979" t="s">
        <v>1104</v>
      </c>
      <c r="O19" s="980" t="s">
        <v>1106</v>
      </c>
    </row>
    <row r="20" spans="5:15">
      <c r="E20" s="913"/>
      <c r="F20" s="981" t="s">
        <v>1107</v>
      </c>
      <c r="G20" s="971" t="s">
        <v>196</v>
      </c>
      <c r="H20" s="971" t="s">
        <v>1108</v>
      </c>
      <c r="I20" s="971" t="s">
        <v>1109</v>
      </c>
      <c r="J20" s="971" t="s">
        <v>1110</v>
      </c>
      <c r="K20" s="971" t="s">
        <v>197</v>
      </c>
      <c r="L20" s="971" t="s">
        <v>198</v>
      </c>
      <c r="M20" s="971"/>
      <c r="N20" s="971"/>
      <c r="O20" s="982"/>
    </row>
    <row r="21" spans="5:15">
      <c r="E21" s="913"/>
      <c r="F21" s="983" t="s">
        <v>199</v>
      </c>
      <c r="G21" s="984"/>
      <c r="H21" s="984" t="s">
        <v>200</v>
      </c>
      <c r="I21" s="984" t="s">
        <v>201</v>
      </c>
      <c r="J21" s="984" t="s">
        <v>202</v>
      </c>
      <c r="K21" s="985" t="s">
        <v>203</v>
      </c>
      <c r="L21" s="986"/>
      <c r="M21" s="984" t="s">
        <v>1111</v>
      </c>
      <c r="N21" s="984"/>
      <c r="O21" s="987"/>
    </row>
    <row r="22" spans="5:15">
      <c r="E22" s="913"/>
      <c r="F22" s="983" t="s">
        <v>1974</v>
      </c>
      <c r="G22" s="984"/>
      <c r="H22" s="984" t="s">
        <v>204</v>
      </c>
      <c r="I22" s="984" t="s">
        <v>205</v>
      </c>
      <c r="J22" s="984" t="s">
        <v>1050</v>
      </c>
      <c r="K22" s="984" t="s">
        <v>1882</v>
      </c>
      <c r="L22" s="984" t="s">
        <v>1883</v>
      </c>
      <c r="M22" s="984" t="s">
        <v>1206</v>
      </c>
      <c r="N22" s="984"/>
      <c r="O22" s="987"/>
    </row>
    <row r="23" spans="5:15">
      <c r="E23" s="913"/>
      <c r="F23" s="983" t="s">
        <v>1207</v>
      </c>
      <c r="G23" s="984"/>
      <c r="H23" s="984"/>
      <c r="I23" s="984"/>
      <c r="J23" s="984" t="s">
        <v>1208</v>
      </c>
      <c r="K23" s="984" t="s">
        <v>1209</v>
      </c>
      <c r="L23" s="984" t="s">
        <v>2164</v>
      </c>
      <c r="M23" s="984" t="s">
        <v>1112</v>
      </c>
      <c r="N23" s="984"/>
      <c r="O23" s="987"/>
    </row>
    <row r="24" spans="5:15">
      <c r="E24" s="913"/>
      <c r="F24" s="983" t="s">
        <v>198</v>
      </c>
      <c r="G24" s="984"/>
      <c r="H24" s="984"/>
      <c r="I24" s="984"/>
      <c r="J24" s="985" t="s">
        <v>2165</v>
      </c>
      <c r="K24" s="984" t="s">
        <v>2166</v>
      </c>
      <c r="L24" s="984" t="s">
        <v>2191</v>
      </c>
      <c r="M24" s="986" t="s">
        <v>198</v>
      </c>
      <c r="N24" s="986"/>
      <c r="O24" s="987" t="s">
        <v>2192</v>
      </c>
    </row>
    <row r="25" spans="5:15">
      <c r="E25" s="913"/>
      <c r="F25" s="983" t="s">
        <v>2193</v>
      </c>
      <c r="G25" s="984"/>
      <c r="H25" s="984"/>
      <c r="I25" s="984"/>
      <c r="J25" s="984" t="s">
        <v>2194</v>
      </c>
      <c r="K25" s="984" t="s">
        <v>2195</v>
      </c>
      <c r="L25" s="984" t="s">
        <v>2196</v>
      </c>
      <c r="M25" s="984" t="s">
        <v>2197</v>
      </c>
      <c r="N25" s="985" t="s">
        <v>2198</v>
      </c>
      <c r="O25" s="988"/>
    </row>
    <row r="26" spans="5:15">
      <c r="E26" s="913"/>
      <c r="F26" s="983" t="s">
        <v>2199</v>
      </c>
      <c r="G26" s="984"/>
      <c r="H26" s="984"/>
      <c r="I26" s="984"/>
      <c r="J26" s="984" t="s">
        <v>2200</v>
      </c>
      <c r="K26" s="984" t="s">
        <v>824</v>
      </c>
      <c r="L26" s="984" t="s">
        <v>825</v>
      </c>
      <c r="M26" s="984"/>
      <c r="N26" s="984" t="s">
        <v>826</v>
      </c>
      <c r="O26" s="987"/>
    </row>
    <row r="27" spans="5:15">
      <c r="E27" s="913"/>
      <c r="F27" s="3377" t="s">
        <v>2187</v>
      </c>
      <c r="G27" s="984"/>
      <c r="H27" s="984"/>
      <c r="I27" s="984"/>
      <c r="J27" s="984"/>
      <c r="K27" s="989" t="s">
        <v>2188</v>
      </c>
      <c r="L27" s="984" t="s">
        <v>2189</v>
      </c>
      <c r="M27" s="986" t="s">
        <v>2190</v>
      </c>
      <c r="N27" s="986"/>
      <c r="O27" s="987"/>
    </row>
    <row r="28" spans="5:15">
      <c r="E28" s="913"/>
      <c r="F28" s="3378"/>
      <c r="G28" s="990"/>
      <c r="H28" s="990"/>
      <c r="I28" s="990"/>
      <c r="J28" s="990"/>
      <c r="K28" s="991" t="s">
        <v>1113</v>
      </c>
      <c r="L28" s="991"/>
      <c r="M28" s="990" t="s">
        <v>1114</v>
      </c>
      <c r="N28" s="990" t="s">
        <v>2475</v>
      </c>
      <c r="O28" s="992"/>
    </row>
    <row r="29" spans="5:15">
      <c r="E29" s="913"/>
      <c r="F29" s="909"/>
      <c r="G29" s="993"/>
      <c r="H29" s="993"/>
      <c r="I29" s="993"/>
      <c r="J29" s="993"/>
      <c r="K29" s="993"/>
      <c r="L29" s="993"/>
      <c r="M29" s="993"/>
      <c r="N29" s="993"/>
      <c r="O29" s="994" t="s">
        <v>2476</v>
      </c>
    </row>
    <row r="30" spans="5:15" ht="0.75" customHeight="1">
      <c r="E30" s="913"/>
      <c r="F30" s="909"/>
      <c r="G30" s="995"/>
      <c r="H30" s="995"/>
      <c r="I30" s="995"/>
      <c r="J30" s="995"/>
      <c r="K30" s="995"/>
      <c r="L30" s="995"/>
      <c r="M30" s="995"/>
      <c r="N30" s="995"/>
      <c r="O30" s="995"/>
    </row>
    <row r="31" spans="5:15" ht="14.25" hidden="1">
      <c r="E31" s="913"/>
      <c r="F31" s="2233" t="s">
        <v>2477</v>
      </c>
      <c r="G31" s="996"/>
      <c r="H31" s="997"/>
      <c r="I31" s="998"/>
      <c r="J31" s="999" t="str">
        <f>IF(OR(F33=0,AND(J32=0,O32=0)),$R$3,"")</f>
        <v>&lt;評価しない&gt;</v>
      </c>
      <c r="K31" s="998"/>
      <c r="L31" s="996"/>
      <c r="M31" s="997"/>
      <c r="N31" s="998"/>
      <c r="O31" s="999"/>
    </row>
    <row r="32" spans="5:15" hidden="1">
      <c r="E32" s="913"/>
      <c r="F32" s="923" t="s">
        <v>1115</v>
      </c>
      <c r="G32" s="924"/>
      <c r="H32" s="925"/>
      <c r="I32" s="926" t="s">
        <v>1364</v>
      </c>
      <c r="J32" s="929">
        <f>重み!M13</f>
        <v>0</v>
      </c>
      <c r="K32" s="923" t="s">
        <v>1968</v>
      </c>
      <c r="L32" s="924"/>
      <c r="M32" s="925"/>
      <c r="N32" s="926" t="s">
        <v>1364</v>
      </c>
      <c r="O32" s="929">
        <f>重み!N13</f>
        <v>0</v>
      </c>
    </row>
    <row r="33" spans="2:15" ht="14.25" hidden="1" thickBot="1">
      <c r="E33" s="913"/>
      <c r="F33" s="1000">
        <f>IF(J32=0,0,F44)</f>
        <v>0</v>
      </c>
      <c r="G33" s="935" t="s">
        <v>1116</v>
      </c>
      <c r="H33" s="935"/>
      <c r="I33" s="3388" t="s">
        <v>1117</v>
      </c>
      <c r="J33" s="3389"/>
      <c r="K33" s="1000">
        <f>IF(O32=0,0,IF(O44+K56=0,0,ROUND(G44*O44/(O44+K56)+G56*K56/(O44+K56),0)))</f>
        <v>0</v>
      </c>
      <c r="L33" s="1001" t="s">
        <v>1118</v>
      </c>
      <c r="M33" s="1002" t="s">
        <v>1119</v>
      </c>
      <c r="N33" s="3379" t="s">
        <v>2479</v>
      </c>
      <c r="O33" s="3380"/>
    </row>
    <row r="34" spans="2:15" ht="56.25" hidden="1" customHeight="1">
      <c r="E34" s="913"/>
      <c r="F34" s="942" t="str">
        <f>IF(F33=$S$14,$T$9,IF(ROUNDDOWN(F33,0)=$S$9,$U$9,$T$9))</f>
        <v>　レベル　1</v>
      </c>
      <c r="G34" s="3381" t="s">
        <v>2480</v>
      </c>
      <c r="H34" s="3382"/>
      <c r="I34" s="3381" t="s">
        <v>2480</v>
      </c>
      <c r="J34" s="3382"/>
      <c r="K34" s="942" t="str">
        <f>IF(K33=$S$14,$T$9,IF(ROUNDDOWN(K33,0)=$S$9,$U$9,$T$9))</f>
        <v>　レベル　1</v>
      </c>
      <c r="L34" s="1003" t="s">
        <v>2480</v>
      </c>
      <c r="M34" s="1003" t="s">
        <v>2480</v>
      </c>
      <c r="N34" s="3381" t="s">
        <v>2480</v>
      </c>
      <c r="O34" s="3387"/>
    </row>
    <row r="35" spans="2:15" ht="45" hidden="1" customHeight="1">
      <c r="E35" s="913"/>
      <c r="F35" s="942" t="str">
        <f>IF(F33=$S$14,$T$10,IF(ROUNDDOWN(F33,0)=$S$10,$U$10,$T$10))</f>
        <v>　レベル　2</v>
      </c>
      <c r="G35" s="3385" t="s">
        <v>1681</v>
      </c>
      <c r="H35" s="3391"/>
      <c r="I35" s="3385" t="s">
        <v>1120</v>
      </c>
      <c r="J35" s="3391"/>
      <c r="K35" s="942" t="str">
        <f>IF(K33=$S$14,$T$10,IF(ROUNDDOWN(K33,0)=$S$10,$U$10,$T$10))</f>
        <v>　レベル　2</v>
      </c>
      <c r="L35" s="950" t="s">
        <v>1681</v>
      </c>
      <c r="M35" s="950" t="s">
        <v>1120</v>
      </c>
      <c r="N35" s="3385"/>
      <c r="O35" s="3386"/>
    </row>
    <row r="36" spans="2:15" ht="45" hidden="1" customHeight="1">
      <c r="E36" s="913"/>
      <c r="F36" s="942" t="str">
        <f>IF(F33=$S$14,$T$11,IF(ROUNDDOWN(F33,0)=$S$11,$U$11,$T$11))</f>
        <v>　レベル　3</v>
      </c>
      <c r="G36" s="3385" t="s">
        <v>1682</v>
      </c>
      <c r="H36" s="3391"/>
      <c r="I36" s="3385" t="s">
        <v>207</v>
      </c>
      <c r="J36" s="3391"/>
      <c r="K36" s="942" t="str">
        <f>IF(K33=$S$14,$T$11,IF(ROUNDDOWN(K33,0)=$S$11,$U$11,$T$11))</f>
        <v>　レベル　3</v>
      </c>
      <c r="L36" s="950" t="s">
        <v>1682</v>
      </c>
      <c r="M36" s="950" t="s">
        <v>207</v>
      </c>
      <c r="N36" s="3385" t="s">
        <v>1683</v>
      </c>
      <c r="O36" s="3386"/>
    </row>
    <row r="37" spans="2:15" ht="56.25" hidden="1" customHeight="1">
      <c r="E37" s="913"/>
      <c r="F37" s="942" t="str">
        <f>IF(F33=$S$14,$T$12,IF(ROUNDDOWN(F33,0)=$S$12,$U$12,$T$12))</f>
        <v>　レベル　4</v>
      </c>
      <c r="G37" s="3385" t="s">
        <v>1684</v>
      </c>
      <c r="H37" s="3391"/>
      <c r="I37" s="3385" t="s">
        <v>697</v>
      </c>
      <c r="J37" s="3391"/>
      <c r="K37" s="942" t="str">
        <f>IF(K33=$S$14,$T$12,IF(ROUNDDOWN(K33,0)=$S$12,$U$12,$T$12))</f>
        <v>　レベル　4</v>
      </c>
      <c r="L37" s="950" t="s">
        <v>1684</v>
      </c>
      <c r="M37" s="950" t="s">
        <v>697</v>
      </c>
      <c r="N37" s="3385"/>
      <c r="O37" s="3386"/>
    </row>
    <row r="38" spans="2:15" ht="45" hidden="1" customHeight="1">
      <c r="E38" s="904"/>
      <c r="F38" s="953" t="str">
        <f>IF(F33=$S$14,$T$13,IF(ROUNDDOWN(F33,0)=$S$13,$U$13,$T$13))</f>
        <v>　レベル　5</v>
      </c>
      <c r="G38" s="3383" t="s">
        <v>1685</v>
      </c>
      <c r="H38" s="3390"/>
      <c r="I38" s="3383" t="s">
        <v>1685</v>
      </c>
      <c r="J38" s="3390"/>
      <c r="K38" s="953" t="str">
        <f>IF(K33=$S$14,$T$13,IF(ROUNDDOWN(K33,0)=$S$13,$U$13,$T$13))</f>
        <v>　レベル　5</v>
      </c>
      <c r="L38" s="954" t="s">
        <v>1685</v>
      </c>
      <c r="M38" s="954" t="s">
        <v>1685</v>
      </c>
      <c r="N38" s="3383" t="s">
        <v>1685</v>
      </c>
      <c r="O38" s="3384"/>
    </row>
    <row r="39" spans="2:15" hidden="1">
      <c r="E39" s="1004"/>
      <c r="F39" s="1005" t="s">
        <v>1686</v>
      </c>
      <c r="G39" s="1006"/>
      <c r="H39" s="1006"/>
      <c r="I39" s="1006"/>
      <c r="J39" s="1006"/>
      <c r="K39" s="1007"/>
      <c r="L39" s="1007"/>
      <c r="M39" s="1006"/>
      <c r="N39" s="1006"/>
      <c r="O39" s="1006"/>
    </row>
    <row r="40" spans="2:15" ht="14.25" hidden="1" thickBot="1">
      <c r="E40" s="1004"/>
      <c r="F40" s="1008"/>
      <c r="G40" s="1007" t="s">
        <v>1687</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698</v>
      </c>
      <c r="G42" s="1013" t="s">
        <v>699</v>
      </c>
      <c r="H42" s="1007"/>
      <c r="I42" s="1007"/>
      <c r="J42" s="1006"/>
      <c r="K42" s="1007"/>
      <c r="L42" s="1007"/>
      <c r="M42" s="1007"/>
      <c r="N42" s="1007"/>
      <c r="O42" s="1007"/>
    </row>
    <row r="43" spans="2:15" ht="14.25" hidden="1" customHeight="1" thickBot="1">
      <c r="E43" s="1004"/>
      <c r="F43" s="930">
        <v>0</v>
      </c>
      <c r="G43" s="930">
        <v>0</v>
      </c>
      <c r="H43" s="1014" t="s">
        <v>2666</v>
      </c>
      <c r="I43" s="1015" t="s">
        <v>2897</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700</v>
      </c>
      <c r="I44" s="925"/>
      <c r="J44" s="1018" t="s">
        <v>701</v>
      </c>
      <c r="K44" s="1019"/>
      <c r="L44" s="1020" t="s">
        <v>2667</v>
      </c>
      <c r="M44" s="1021">
        <f>メイン!C19</f>
        <v>30000</v>
      </c>
      <c r="N44" s="1022" t="s">
        <v>2581</v>
      </c>
      <c r="O44" s="1023">
        <f>メイン!L66-メイン!L64</f>
        <v>0</v>
      </c>
    </row>
    <row r="45" spans="2:15" ht="13.5" hidden="1" customHeight="1">
      <c r="B45" s="1">
        <v>2</v>
      </c>
      <c r="C45" s="1">
        <v>2</v>
      </c>
      <c r="E45" s="913"/>
      <c r="F45" s="1024" t="s">
        <v>2668</v>
      </c>
      <c r="G45" s="1024" t="s">
        <v>2668</v>
      </c>
      <c r="H45" s="3396" t="s">
        <v>2669</v>
      </c>
      <c r="I45" s="3397"/>
      <c r="J45" s="3392" t="s">
        <v>2670</v>
      </c>
      <c r="K45" s="3393"/>
      <c r="L45" s="1025"/>
      <c r="M45" s="1025"/>
      <c r="N45" s="1025"/>
      <c r="O45" s="1025"/>
    </row>
    <row r="46" spans="2:15" ht="13.5" hidden="1" customHeight="1">
      <c r="B46" s="1">
        <v>3</v>
      </c>
      <c r="C46" s="1">
        <v>3</v>
      </c>
      <c r="E46" s="913"/>
      <c r="F46" s="1026" t="s">
        <v>2671</v>
      </c>
      <c r="G46" s="1026" t="s">
        <v>2671</v>
      </c>
      <c r="H46" s="1027" t="s">
        <v>1668</v>
      </c>
      <c r="I46" s="1028"/>
      <c r="J46" s="1029" t="s">
        <v>1669</v>
      </c>
      <c r="K46" s="1028"/>
      <c r="L46" s="1025"/>
      <c r="M46" s="1025"/>
      <c r="N46" s="1025"/>
      <c r="O46" s="1025"/>
    </row>
    <row r="47" spans="2:15" ht="13.5" hidden="1" customHeight="1">
      <c r="B47" s="1">
        <v>4</v>
      </c>
      <c r="C47" s="1">
        <v>4</v>
      </c>
      <c r="E47" s="913"/>
      <c r="F47" s="1026" t="s">
        <v>2668</v>
      </c>
      <c r="G47" s="1026" t="s">
        <v>2671</v>
      </c>
      <c r="H47" s="1027" t="s">
        <v>1069</v>
      </c>
      <c r="I47" s="1028"/>
      <c r="J47" s="1029" t="s">
        <v>702</v>
      </c>
      <c r="K47" s="1028"/>
      <c r="L47" s="925" t="s">
        <v>1070</v>
      </c>
      <c r="M47" s="925"/>
      <c r="N47" s="925"/>
      <c r="O47" s="1030"/>
    </row>
    <row r="48" spans="2:15" ht="13.5" hidden="1" customHeight="1">
      <c r="B48" s="1">
        <v>5</v>
      </c>
      <c r="C48" s="1">
        <v>5</v>
      </c>
      <c r="E48" s="913"/>
      <c r="F48" s="1026" t="s">
        <v>2671</v>
      </c>
      <c r="G48" s="1026" t="s">
        <v>2668</v>
      </c>
      <c r="H48" s="1027" t="s">
        <v>1071</v>
      </c>
      <c r="I48" s="1028"/>
      <c r="J48" s="1029" t="s">
        <v>1072</v>
      </c>
      <c r="K48" s="1028"/>
      <c r="L48" s="1017" t="s">
        <v>703</v>
      </c>
      <c r="M48" s="1031"/>
      <c r="N48" s="1032" t="s">
        <v>704</v>
      </c>
      <c r="O48" s="1019"/>
    </row>
    <row r="49" spans="2:15" ht="13.5" hidden="1" customHeight="1">
      <c r="B49" s="960">
        <v>0</v>
      </c>
      <c r="C49" s="960">
        <v>0</v>
      </c>
      <c r="E49" s="913"/>
      <c r="F49" s="1026" t="s">
        <v>2671</v>
      </c>
      <c r="G49" s="1026" t="s">
        <v>2668</v>
      </c>
      <c r="H49" s="1027" t="s">
        <v>1073</v>
      </c>
      <c r="I49" s="1028"/>
      <c r="J49" s="3392" t="s">
        <v>1074</v>
      </c>
      <c r="K49" s="3397"/>
      <c r="L49" s="3394" t="s">
        <v>2465</v>
      </c>
      <c r="M49" s="3397"/>
      <c r="N49" s="3392" t="s">
        <v>2481</v>
      </c>
      <c r="O49" s="3393"/>
    </row>
    <row r="50" spans="2:15" ht="13.5" hidden="1" customHeight="1">
      <c r="E50" s="913"/>
      <c r="F50" s="1026" t="s">
        <v>2671</v>
      </c>
      <c r="G50" s="1026" t="s">
        <v>2668</v>
      </c>
      <c r="H50" s="1027" t="s">
        <v>1071</v>
      </c>
      <c r="I50" s="1028"/>
      <c r="J50" s="3392" t="s">
        <v>2482</v>
      </c>
      <c r="K50" s="3395"/>
      <c r="L50" s="3394" t="s">
        <v>2483</v>
      </c>
      <c r="M50" s="3393"/>
      <c r="N50" s="3392" t="s">
        <v>2484</v>
      </c>
      <c r="O50" s="3393"/>
    </row>
    <row r="51" spans="2:15" ht="13.5" hidden="1" customHeight="1">
      <c r="E51" s="913"/>
      <c r="F51" s="1026" t="s">
        <v>2668</v>
      </c>
      <c r="G51" s="1026" t="s">
        <v>2671</v>
      </c>
      <c r="H51" s="1027" t="s">
        <v>705</v>
      </c>
      <c r="I51" s="1028"/>
      <c r="J51" s="1029" t="s">
        <v>2485</v>
      </c>
      <c r="K51" s="1028"/>
      <c r="L51" s="3394" t="s">
        <v>2486</v>
      </c>
      <c r="M51" s="3393"/>
      <c r="N51" s="3392" t="s">
        <v>2487</v>
      </c>
      <c r="O51" s="3393"/>
    </row>
    <row r="52" spans="2:15" ht="14.25" hidden="1" customHeight="1" thickBot="1">
      <c r="E52" s="913"/>
      <c r="F52" s="1033" t="s">
        <v>2671</v>
      </c>
      <c r="G52" s="1033" t="s">
        <v>2671</v>
      </c>
      <c r="H52" s="1027" t="s">
        <v>1171</v>
      </c>
      <c r="I52" s="1028"/>
      <c r="J52" s="1029" t="s">
        <v>2488</v>
      </c>
      <c r="K52" s="1028"/>
      <c r="L52" s="3394" t="s">
        <v>2158</v>
      </c>
      <c r="M52" s="3393"/>
      <c r="N52" s="3392" t="s">
        <v>2159</v>
      </c>
      <c r="O52" s="3393"/>
    </row>
    <row r="53" spans="2:15" ht="13.5" hidden="1" customHeight="1">
      <c r="E53" s="913"/>
      <c r="F53" s="1034">
        <f>IF(F40=S4,COUNTIF(F49:F52,S4),COUNTIF(F45:F52,S4))</f>
        <v>5</v>
      </c>
      <c r="G53" s="1035">
        <f>IF(F40=S4,COUNTIF(G49:G52,S4),COUNTIF(G45:G52,S4))</f>
        <v>4</v>
      </c>
      <c r="H53" s="1025" t="s">
        <v>2160</v>
      </c>
      <c r="I53" s="1036"/>
      <c r="J53" s="1036"/>
      <c r="K53" s="1036"/>
      <c r="L53" s="1007"/>
      <c r="M53" s="1007"/>
      <c r="N53" s="1007"/>
      <c r="O53" s="1007"/>
    </row>
    <row r="54" spans="2:15" hidden="1">
      <c r="E54" s="913"/>
      <c r="F54" s="904"/>
      <c r="G54" s="1037" t="s">
        <v>2161</v>
      </c>
      <c r="H54" s="1025"/>
      <c r="I54" s="1036"/>
      <c r="J54" s="1036"/>
      <c r="K54" s="1007"/>
      <c r="L54" s="1007"/>
      <c r="M54" s="1007"/>
      <c r="N54" s="1007"/>
      <c r="O54" s="1007"/>
    </row>
    <row r="55" spans="2:15" ht="16.5" hidden="1" thickBot="1">
      <c r="E55" s="908"/>
      <c r="F55" s="904"/>
      <c r="G55" s="930">
        <v>0</v>
      </c>
      <c r="H55" s="1014" t="s">
        <v>2666</v>
      </c>
      <c r="I55" s="1015" t="s">
        <v>2897</v>
      </c>
      <c r="J55" s="1007"/>
      <c r="K55" s="1007"/>
      <c r="L55" s="1025"/>
      <c r="M55" s="1025"/>
      <c r="N55" s="1025"/>
      <c r="O55" s="1025"/>
    </row>
    <row r="56" spans="2:15" ht="15.75" hidden="1">
      <c r="B56" s="1">
        <v>1</v>
      </c>
      <c r="C56" s="1">
        <v>1</v>
      </c>
      <c r="E56" s="908"/>
      <c r="F56" s="1038"/>
      <c r="G56" s="3400">
        <f>IF(I55=T4,G55,IF($G$63&lt;2,1,IF($G$63&lt;2,2,IF($G$63&lt;4,3,IF($G$63&lt;5,4,5)))))</f>
        <v>0</v>
      </c>
      <c r="H56" s="1039" t="s">
        <v>2162</v>
      </c>
      <c r="I56" s="1039"/>
      <c r="J56" s="1039" t="s">
        <v>2581</v>
      </c>
      <c r="K56" s="1023">
        <f>メイン!L64</f>
        <v>0</v>
      </c>
      <c r="L56" s="1007"/>
      <c r="M56" s="1007"/>
      <c r="N56" s="1007"/>
      <c r="O56" s="1007"/>
    </row>
    <row r="57" spans="2:15" ht="15.75" hidden="1">
      <c r="B57" s="1">
        <v>2</v>
      </c>
      <c r="C57" s="1">
        <v>2</v>
      </c>
      <c r="E57" s="908"/>
      <c r="F57" s="1038"/>
      <c r="G57" s="3400"/>
      <c r="H57" s="1017" t="s">
        <v>700</v>
      </c>
      <c r="I57" s="935"/>
      <c r="J57" s="1032" t="s">
        <v>701</v>
      </c>
      <c r="K57" s="1019"/>
      <c r="L57" s="1007"/>
      <c r="M57" s="1007"/>
      <c r="N57" s="1007"/>
      <c r="O57" s="1007"/>
    </row>
    <row r="58" spans="2:15" ht="15.75" hidden="1" customHeight="1">
      <c r="B58" s="1">
        <v>3</v>
      </c>
      <c r="C58" s="1">
        <v>3</v>
      </c>
      <c r="E58" s="908"/>
      <c r="F58" s="904"/>
      <c r="G58" s="1024" t="s">
        <v>2671</v>
      </c>
      <c r="H58" s="3396" t="s">
        <v>2163</v>
      </c>
      <c r="I58" s="3393"/>
      <c r="J58" s="3392" t="s">
        <v>2817</v>
      </c>
      <c r="K58" s="3393"/>
      <c r="L58" s="1025"/>
      <c r="M58" s="1025"/>
      <c r="N58" s="1025"/>
      <c r="O58" s="1025"/>
    </row>
    <row r="59" spans="2:15" ht="15.75" hidden="1" customHeight="1">
      <c r="B59" s="1">
        <v>4</v>
      </c>
      <c r="C59" s="1">
        <v>4</v>
      </c>
      <c r="E59" s="908"/>
      <c r="F59" s="904"/>
      <c r="G59" s="1026" t="s">
        <v>2671</v>
      </c>
      <c r="H59" s="1027" t="s">
        <v>2818</v>
      </c>
      <c r="I59" s="1028"/>
      <c r="J59" s="3392" t="s">
        <v>2819</v>
      </c>
      <c r="K59" s="3393"/>
      <c r="L59" s="1025"/>
      <c r="M59" s="1025"/>
      <c r="N59" s="1025"/>
      <c r="O59" s="1025"/>
    </row>
    <row r="60" spans="2:15" ht="15.75" hidden="1" customHeight="1">
      <c r="B60" s="1">
        <v>5</v>
      </c>
      <c r="C60" s="1">
        <v>5</v>
      </c>
      <c r="E60" s="908"/>
      <c r="F60" s="904"/>
      <c r="G60" s="1026"/>
      <c r="H60" s="1027" t="s">
        <v>2820</v>
      </c>
      <c r="I60" s="1028"/>
      <c r="J60" s="3392" t="s">
        <v>2821</v>
      </c>
      <c r="K60" s="3393"/>
      <c r="L60" s="1025"/>
      <c r="M60" s="1025"/>
      <c r="N60" s="1025"/>
      <c r="O60" s="1025"/>
    </row>
    <row r="61" spans="2:15" ht="15.75" hidden="1" customHeight="1">
      <c r="B61" s="960">
        <v>0</v>
      </c>
      <c r="C61" s="960">
        <v>0</v>
      </c>
      <c r="E61" s="908"/>
      <c r="F61" s="904"/>
      <c r="G61" s="1026" t="s">
        <v>2668</v>
      </c>
      <c r="H61" s="1027" t="s">
        <v>2822</v>
      </c>
      <c r="I61" s="1028"/>
      <c r="J61" s="3392" t="s">
        <v>2823</v>
      </c>
      <c r="K61" s="3393"/>
      <c r="L61" s="1025"/>
      <c r="M61" s="1025"/>
      <c r="N61" s="1025"/>
      <c r="O61" s="1025"/>
    </row>
    <row r="62" spans="2:15" ht="16.5" hidden="1" customHeight="1" thickBot="1">
      <c r="E62" s="908"/>
      <c r="F62" s="904"/>
      <c r="G62" s="1033" t="s">
        <v>2671</v>
      </c>
      <c r="H62" s="1027" t="s">
        <v>2824</v>
      </c>
      <c r="I62" s="1028"/>
      <c r="J62" s="3392" t="s">
        <v>2821</v>
      </c>
      <c r="K62" s="3393"/>
      <c r="L62" s="1025"/>
      <c r="M62" s="1025"/>
      <c r="N62" s="1025"/>
      <c r="O62" s="1025"/>
    </row>
    <row r="63" spans="2:15" ht="15.75" hidden="1" customHeight="1">
      <c r="E63" s="908"/>
      <c r="F63" s="904"/>
      <c r="G63" s="1035">
        <f>COUNTIF(G58:G62,S4)</f>
        <v>3</v>
      </c>
      <c r="H63" s="1025" t="s">
        <v>2160</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6">
        <v>1.2</v>
      </c>
      <c r="E65" s="1042" t="s">
        <v>2825</v>
      </c>
      <c r="F65" s="915"/>
      <c r="G65" s="1043"/>
      <c r="H65" s="1044"/>
      <c r="I65" s="1044"/>
      <c r="J65" s="1044"/>
      <c r="K65" s="1043"/>
      <c r="L65" s="1044"/>
      <c r="M65" s="1044"/>
      <c r="N65" s="1044"/>
      <c r="O65" s="1044"/>
    </row>
    <row r="66" spans="2:15" ht="15.75">
      <c r="D66" s="903"/>
      <c r="E66" s="904"/>
      <c r="F66" s="919" t="s">
        <v>2826</v>
      </c>
      <c r="G66" s="996"/>
      <c r="H66" s="1045"/>
      <c r="I66" s="1025"/>
      <c r="J66" s="999" t="str">
        <f>IF(OR(F68=0,AND(J67=0,O67=0)),$R$3,"")</f>
        <v/>
      </c>
      <c r="K66" s="995"/>
      <c r="L66" s="996"/>
      <c r="M66" s="1045"/>
      <c r="N66" s="1025"/>
      <c r="O66" s="999"/>
    </row>
    <row r="67" spans="2:15" ht="17.25" customHeight="1" thickBot="1">
      <c r="D67" s="908"/>
      <c r="E67" s="909"/>
      <c r="F67" s="923" t="s">
        <v>1172</v>
      </c>
      <c r="G67" s="924"/>
      <c r="H67" s="925"/>
      <c r="I67" s="926" t="s">
        <v>1364</v>
      </c>
      <c r="J67" s="929">
        <f>重み!M15</f>
        <v>0.6</v>
      </c>
      <c r="K67" s="923" t="s">
        <v>1968</v>
      </c>
      <c r="L67" s="924"/>
      <c r="M67" s="925"/>
      <c r="N67" s="926" t="s">
        <v>1364</v>
      </c>
      <c r="O67" s="929">
        <f>重み!N15</f>
        <v>0</v>
      </c>
    </row>
    <row r="68" spans="2:15" ht="27" customHeight="1" thickBot="1">
      <c r="D68" s="908"/>
      <c r="E68" s="909"/>
      <c r="F68" s="930">
        <v>1</v>
      </c>
      <c r="G68" s="1046" t="s">
        <v>2828</v>
      </c>
      <c r="H68" s="935"/>
      <c r="I68" s="935"/>
      <c r="J68" s="936"/>
      <c r="K68" s="930">
        <v>3</v>
      </c>
      <c r="L68" s="1046" t="s">
        <v>1173</v>
      </c>
      <c r="M68" s="935"/>
      <c r="N68" s="935"/>
      <c r="O68" s="936"/>
    </row>
    <row r="69" spans="2:15" ht="15.75" hidden="1">
      <c r="B69" s="1">
        <v>1</v>
      </c>
      <c r="C69" s="1">
        <v>1</v>
      </c>
      <c r="D69" s="908"/>
      <c r="E69" s="909"/>
      <c r="F69" s="1047"/>
      <c r="G69" s="1046" t="s">
        <v>1266</v>
      </c>
      <c r="H69" s="935"/>
      <c r="I69" s="935"/>
      <c r="J69" s="936"/>
      <c r="K69" s="1047"/>
      <c r="L69" s="1046" t="s">
        <v>1266</v>
      </c>
      <c r="M69" s="935"/>
      <c r="N69" s="935"/>
      <c r="O69" s="936"/>
    </row>
    <row r="70" spans="2:15" ht="15.75" hidden="1">
      <c r="B70" s="1" t="s">
        <v>2898</v>
      </c>
      <c r="C70" s="1" t="s">
        <v>2898</v>
      </c>
      <c r="D70" s="908"/>
      <c r="E70" s="909"/>
      <c r="F70" s="942" t="str">
        <f>IF(F68=$S$14,$T$9,IF(AND($O$3=$U$3,ROUNDDOWN(F68,0)=$S$9),$U$9,$T$9))</f>
        <v>　レベル　1</v>
      </c>
      <c r="G70" s="939" t="s">
        <v>1174</v>
      </c>
      <c r="H70" s="940"/>
      <c r="I70" s="940"/>
      <c r="J70" s="941"/>
      <c r="K70" s="942" t="str">
        <f>IF(K68=$S$14,$T$9,IF(AND($O$3=$U$3,ROUNDDOWN(K68,0)=$S$9),$U$9,$T$9))</f>
        <v>　レベル　1</v>
      </c>
      <c r="L70" s="939" t="s">
        <v>2829</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2898</v>
      </c>
      <c r="C72" s="1" t="s">
        <v>2898</v>
      </c>
      <c r="D72" s="908"/>
      <c r="E72" s="909"/>
      <c r="F72" s="942" t="str">
        <f>IF(F68=$S$14,$T$11,IF(AND($O$3=$U$3,ROUNDDOWN(F68,0)=$S$11),$U$11,$T$11))</f>
        <v>　レベル　3</v>
      </c>
      <c r="G72" s="946" t="s">
        <v>1175</v>
      </c>
      <c r="H72" s="947"/>
      <c r="I72" s="947"/>
      <c r="J72" s="948"/>
      <c r="K72" s="942" t="str">
        <f>IF(K68=$S$14,$T$11,IF(AND($O$3=$U$3,ROUNDDOWN(K68,0)=$S$11),$U$11,$T$11))</f>
        <v>　レベル　3</v>
      </c>
      <c r="L72" s="946" t="s">
        <v>2830</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2831</v>
      </c>
      <c r="H74" s="958"/>
      <c r="I74" s="958"/>
      <c r="J74" s="959"/>
      <c r="K74" s="953" t="str">
        <f>IF(K68=$S$14,$T$13,IF(AND($O$3=$U$3,ROUNDDOWN(K68,0)=$S$13),$U$13,$T$13))</f>
        <v>　レベル　5</v>
      </c>
      <c r="L74" s="957" t="s">
        <v>2832</v>
      </c>
      <c r="M74" s="958"/>
      <c r="N74" s="958"/>
      <c r="O74" s="959"/>
    </row>
    <row r="75" spans="2:15" ht="15.75" hidden="1">
      <c r="D75" s="908"/>
      <c r="E75" s="913"/>
      <c r="F75" s="1046"/>
      <c r="G75" s="1046" t="s">
        <v>1265</v>
      </c>
      <c r="H75" s="935"/>
      <c r="I75" s="935"/>
      <c r="J75" s="936"/>
      <c r="K75" s="1048"/>
      <c r="L75" s="1046" t="s">
        <v>1265</v>
      </c>
      <c r="M75" s="935"/>
      <c r="N75" s="935"/>
      <c r="O75" s="936"/>
    </row>
    <row r="76" spans="2:15" ht="15.75">
      <c r="D76" s="908"/>
      <c r="E76" s="913"/>
      <c r="F76" s="1049" t="str">
        <f>IF(F68=$S$14,$T$9,IF(AND($O$3&lt;&gt;$U$3,ROUNDDOWN(F68,0)=$S$9),$U$9,$T$9))</f>
        <v>■レベル　1</v>
      </c>
      <c r="G76" s="939" t="s">
        <v>1176</v>
      </c>
      <c r="H76" s="940"/>
      <c r="I76" s="940"/>
      <c r="J76" s="941"/>
      <c r="K76" s="1049" t="str">
        <f>IF(K68=$S$14,$T$9,IF(AND($O$3&lt;&gt;$U$3,ROUNDDOWN(K68,0)=$S$9),$U$9,$T$9))</f>
        <v>　レベル　1</v>
      </c>
      <c r="L76" s="939" t="s">
        <v>1176</v>
      </c>
      <c r="M76" s="940"/>
      <c r="N76" s="940"/>
      <c r="O76" s="941"/>
    </row>
    <row r="77" spans="2:15" ht="15.75">
      <c r="D77" s="908"/>
      <c r="E77" s="913"/>
      <c r="F77" s="942" t="str">
        <f>IF(F68=$S$14,$T$10,IF(AND($O$3&lt;&gt;$U$3,ROUNDDOWN(F68,0)=$S$10),$U$10,$T$10))</f>
        <v>　レベル　2</v>
      </c>
      <c r="G77" s="946" t="s">
        <v>2178</v>
      </c>
      <c r="H77" s="947"/>
      <c r="I77" s="947"/>
      <c r="J77" s="948"/>
      <c r="K77" s="942" t="str">
        <f>IF(K68=$S$14,$T$10,IF(AND($O$3&lt;&gt;$U$3,ROUNDDOWN(K68,0)=$S$10),$U$10,$T$10))</f>
        <v>　レベル　2</v>
      </c>
      <c r="L77" s="946" t="s">
        <v>2178</v>
      </c>
      <c r="M77" s="947"/>
      <c r="N77" s="947"/>
      <c r="O77" s="948"/>
    </row>
    <row r="78" spans="2:15" ht="15.75">
      <c r="D78" s="908"/>
      <c r="E78" s="913"/>
      <c r="F78" s="942" t="str">
        <f>IF(F68=$S$14,$T$11,IF(AND($O$3&lt;&gt;$U$3,ROUNDDOWN(F68,0)=$S$11),$U$11,$T$11))</f>
        <v>　レベル　3</v>
      </c>
      <c r="G78" s="946" t="s">
        <v>1177</v>
      </c>
      <c r="H78" s="947"/>
      <c r="I78" s="947"/>
      <c r="J78" s="948"/>
      <c r="K78" s="942" t="str">
        <f>IF(K68=$S$14,$T$11,IF(AND($O$3&lt;&gt;$U$3,ROUNDDOWN(K68,0)=$S$11),$U$11,$T$11))</f>
        <v>■レベル　3</v>
      </c>
      <c r="L78" s="946" t="s">
        <v>1177</v>
      </c>
      <c r="M78" s="947"/>
      <c r="N78" s="947"/>
      <c r="O78" s="948"/>
    </row>
    <row r="79" spans="2:15" ht="15.75">
      <c r="D79" s="908"/>
      <c r="E79" s="913"/>
      <c r="F79" s="942" t="str">
        <f>IF(F68=$S$14,$T$12,IF(AND($O$3&lt;&gt;$U$3,ROUNDDOWN(F68,0)=$S$12),$U$12,$T$12))</f>
        <v>　レベル　4</v>
      </c>
      <c r="G79" s="946" t="s">
        <v>2178</v>
      </c>
      <c r="H79" s="947"/>
      <c r="I79" s="947"/>
      <c r="J79" s="948"/>
      <c r="K79" s="942" t="str">
        <f>IF(K68=$S$14,$T$12,IF(AND($O$3&lt;&gt;$U$3,ROUNDDOWN(K68,0)=$S$12),$U$12,$T$12))</f>
        <v>　レベル　4</v>
      </c>
      <c r="L79" s="946" t="s">
        <v>2178</v>
      </c>
      <c r="M79" s="947"/>
      <c r="N79" s="947"/>
      <c r="O79" s="948"/>
    </row>
    <row r="80" spans="2:15" ht="15.75">
      <c r="D80" s="908"/>
      <c r="E80" s="913"/>
      <c r="F80" s="953" t="str">
        <f>IF(F68=$S$14,$T$13,IF(AND($O$3&lt;&gt;$U$3,ROUNDDOWN(F68,0)=$S$13),$U$13,$T$13))</f>
        <v>　レベル　5</v>
      </c>
      <c r="G80" s="957" t="s">
        <v>1178</v>
      </c>
      <c r="H80" s="958"/>
      <c r="I80" s="958"/>
      <c r="J80" s="959"/>
      <c r="K80" s="953" t="str">
        <f>IF(K68=$S$14,$T$13,IF(AND($O$3&lt;&gt;$U$3,ROUNDDOWN(K68,0)=$S$13),$U$13,$T$13))</f>
        <v>　レベル　5</v>
      </c>
      <c r="L80" s="957" t="s">
        <v>1178</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1179</v>
      </c>
      <c r="G82" s="996"/>
      <c r="H82" s="1045"/>
      <c r="I82" s="1025"/>
      <c r="J82" s="999" t="str">
        <f>IF(OR(F84=0,AND(J83=0,O83=0)),$R$3,"")</f>
        <v/>
      </c>
      <c r="K82" s="995"/>
      <c r="L82" s="996"/>
      <c r="M82" s="1045"/>
      <c r="N82" s="1025"/>
      <c r="O82" s="1025"/>
    </row>
    <row r="83" spans="2:15" ht="15.75" customHeight="1" thickBot="1">
      <c r="D83" s="908"/>
      <c r="E83" s="909"/>
      <c r="F83" s="923" t="s">
        <v>1856</v>
      </c>
      <c r="G83" s="924"/>
      <c r="H83" s="925"/>
      <c r="I83" s="926" t="s">
        <v>1364</v>
      </c>
      <c r="J83" s="929">
        <f>重み!M16</f>
        <v>0.4</v>
      </c>
      <c r="K83" s="923" t="s">
        <v>1968</v>
      </c>
      <c r="L83" s="924"/>
      <c r="M83" s="925"/>
      <c r="N83" s="926" t="s">
        <v>1364</v>
      </c>
      <c r="O83" s="929">
        <f>重み!N16</f>
        <v>0</v>
      </c>
    </row>
    <row r="84" spans="2:15" ht="27" customHeight="1" thickBot="1">
      <c r="D84" s="908"/>
      <c r="E84" s="909"/>
      <c r="F84" s="930">
        <v>3</v>
      </c>
      <c r="G84" s="935" t="s">
        <v>1081</v>
      </c>
      <c r="H84" s="935"/>
      <c r="I84" s="1046" t="s">
        <v>1082</v>
      </c>
      <c r="J84" s="936"/>
      <c r="K84" s="930">
        <v>3</v>
      </c>
      <c r="L84" s="1046" t="s">
        <v>1366</v>
      </c>
      <c r="M84" s="936"/>
      <c r="N84" s="1046"/>
      <c r="O84" s="1051"/>
    </row>
    <row r="85" spans="2:15" ht="15.75" hidden="1">
      <c r="B85" s="1">
        <v>1</v>
      </c>
      <c r="C85" s="1">
        <v>1</v>
      </c>
      <c r="D85" s="908"/>
      <c r="E85" s="909"/>
      <c r="F85" s="1047"/>
      <c r="G85" s="935" t="s">
        <v>1266</v>
      </c>
      <c r="H85" s="1052"/>
      <c r="I85" s="1052"/>
      <c r="J85" s="1053"/>
      <c r="K85" s="1047"/>
      <c r="L85" s="935" t="s">
        <v>1266</v>
      </c>
      <c r="M85" s="1052"/>
      <c r="N85" s="1052"/>
      <c r="O85" s="1053"/>
    </row>
    <row r="86" spans="2:15" ht="30" hidden="1" customHeight="1">
      <c r="B86" s="1">
        <v>2</v>
      </c>
      <c r="C86" s="1">
        <v>2</v>
      </c>
      <c r="D86" s="908"/>
      <c r="E86" s="909"/>
      <c r="F86" s="942" t="str">
        <f>IF(F84=$S$14,$T$9,IF(AND($O$3=$U$3,ROUNDDOWN(F84,0)=$S$9),$U$9,$T$9))</f>
        <v>　レベル　1</v>
      </c>
      <c r="G86" s="1054" t="s">
        <v>1181</v>
      </c>
      <c r="H86" s="1055"/>
      <c r="I86" s="1054" t="s">
        <v>2650</v>
      </c>
      <c r="J86" s="1055"/>
      <c r="K86" s="942" t="str">
        <f>IF(K84=$S$14,$T$9,IF(AND($O$3=$U$3,ROUNDDOWN(K84,0)=$S$9),$U$9,$T$9))</f>
        <v>　レベル　1</v>
      </c>
      <c r="L86" s="3398" t="s">
        <v>315</v>
      </c>
      <c r="M86" s="3399"/>
      <c r="N86" s="3381" t="s">
        <v>316</v>
      </c>
      <c r="O86" s="3387"/>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317</v>
      </c>
      <c r="H88" s="947"/>
      <c r="I88" s="946" t="s">
        <v>318</v>
      </c>
      <c r="J88" s="947"/>
      <c r="K88" s="942" t="str">
        <f>IF(K84=$S$14,$T$11,IF(AND($O$3=$U$3,ROUNDDOWN(K84,0)=$S$11),$U$11,$T$11))</f>
        <v>　レベル　3</v>
      </c>
      <c r="L88" s="3403" t="s">
        <v>319</v>
      </c>
      <c r="M88" s="3386"/>
      <c r="N88" s="3385" t="s">
        <v>320</v>
      </c>
      <c r="O88" s="3386"/>
    </row>
    <row r="89" spans="2:15" ht="30" hidden="1" customHeight="1">
      <c r="B89" s="1">
        <v>5</v>
      </c>
      <c r="C89" s="1">
        <v>5</v>
      </c>
      <c r="D89" s="908"/>
      <c r="E89" s="909"/>
      <c r="F89" s="942" t="str">
        <f>IF(F84=$S$14,$T$12,IF(AND($O$3=$U$3,ROUNDDOWN(F84,0)=$S$12),$U$12,$T$12))</f>
        <v>　レベル　4</v>
      </c>
      <c r="G89" s="946" t="s">
        <v>2651</v>
      </c>
      <c r="H89" s="947"/>
      <c r="I89" s="946" t="s">
        <v>2651</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2652</v>
      </c>
      <c r="H90" s="958"/>
      <c r="I90" s="957" t="s">
        <v>321</v>
      </c>
      <c r="J90" s="958"/>
      <c r="K90" s="953" t="str">
        <f>IF(K84=$S$14,$T$13,IF(AND($O$3=$U$3,ROUNDDOWN(K84,0)=$S$13),$U$13,$T$13))</f>
        <v>　レベル　5</v>
      </c>
      <c r="L90" s="3404" t="s">
        <v>2653</v>
      </c>
      <c r="M90" s="3384"/>
      <c r="N90" s="3383" t="s">
        <v>2654</v>
      </c>
      <c r="O90" s="3384"/>
    </row>
    <row r="91" spans="2:15" ht="15.75" hidden="1">
      <c r="D91" s="908"/>
      <c r="E91" s="909"/>
      <c r="F91" s="1048"/>
      <c r="G91" s="1046" t="s">
        <v>1265</v>
      </c>
      <c r="H91" s="935"/>
      <c r="I91" s="935"/>
      <c r="J91" s="936"/>
      <c r="K91" s="1048"/>
      <c r="L91" s="1046" t="s">
        <v>1265</v>
      </c>
      <c r="M91" s="935"/>
      <c r="N91" s="935"/>
      <c r="O91" s="936"/>
    </row>
    <row r="92" spans="2:15" ht="15.75">
      <c r="D92" s="908"/>
      <c r="E92" s="909"/>
      <c r="F92" s="1049" t="str">
        <f>IF(F84=$S$14,$T$9,IF(AND($O$3&lt;&gt;$U$3,ROUNDDOWN(F84,0)=$S$9),$U$9,$T$9))</f>
        <v>　レベル　1</v>
      </c>
      <c r="G92" s="939" t="s">
        <v>2655</v>
      </c>
      <c r="H92" s="940"/>
      <c r="I92" s="939" t="s">
        <v>2656</v>
      </c>
      <c r="J92" s="940"/>
      <c r="K92" s="1049" t="str">
        <f>IF(K84=$S$14,$T$9,IF(AND($O$3&lt;&gt;$U$3,ROUNDDOWN(K84,0)=$S$9),$U$9,$T$9))</f>
        <v>　レベル　1</v>
      </c>
      <c r="L92" s="1003" t="s">
        <v>322</v>
      </c>
      <c r="M92" s="3401"/>
      <c r="N92" s="3401"/>
      <c r="O92" s="3387"/>
    </row>
    <row r="93" spans="2:15" ht="15.75">
      <c r="D93" s="908"/>
      <c r="E93" s="909"/>
      <c r="F93" s="942" t="str">
        <f>IF(F84=$S$14,$T$10,IF(AND($O$3&lt;&gt;$U$3,ROUNDDOWN(F84,0)=$S$10),$U$10,$T$10))</f>
        <v>　レベル　2</v>
      </c>
      <c r="G93" s="946" t="s">
        <v>2657</v>
      </c>
      <c r="H93" s="947"/>
      <c r="I93" s="946" t="s">
        <v>2658</v>
      </c>
      <c r="J93" s="947"/>
      <c r="K93" s="942" t="str">
        <f>IF(K84=$S$14,$T$10,IF(AND($O$3&lt;&gt;$U$3,ROUNDDOWN(K84,0)=$S$10),$U$10,$T$10))</f>
        <v>　レベル　2</v>
      </c>
      <c r="L93" s="950" t="s">
        <v>323</v>
      </c>
      <c r="M93" s="3402"/>
      <c r="N93" s="3391"/>
      <c r="O93" s="3386"/>
    </row>
    <row r="94" spans="2:15" ht="15.75">
      <c r="D94" s="908"/>
      <c r="E94" s="909"/>
      <c r="F94" s="942" t="str">
        <f>IF(F84=$S$14,$T$11,IF(AND($O$3&lt;&gt;$U$3,ROUNDDOWN(F84,0)=$S$11),$U$11,$T$11))</f>
        <v>■レベル　3</v>
      </c>
      <c r="G94" s="946" t="s">
        <v>2658</v>
      </c>
      <c r="H94" s="947"/>
      <c r="I94" s="946" t="s">
        <v>2659</v>
      </c>
      <c r="J94" s="947"/>
      <c r="K94" s="942" t="str">
        <f>IF(K84=$S$14,$T$11,IF(AND($O$3&lt;&gt;$U$3,ROUNDDOWN(K84,0)=$S$11),$U$11,$T$11))</f>
        <v>■レベル　3</v>
      </c>
      <c r="L94" s="950" t="s">
        <v>324</v>
      </c>
      <c r="M94" s="3402"/>
      <c r="N94" s="3391"/>
      <c r="O94" s="3386"/>
    </row>
    <row r="95" spans="2:15" ht="15.75">
      <c r="D95" s="908"/>
      <c r="E95" s="909"/>
      <c r="F95" s="942" t="str">
        <f>IF(F84=$S$14,$T$12,IF(AND($O$3&lt;&gt;$U$3,ROUNDDOWN(F84,0)=$S$12),$U$12,$T$12))</f>
        <v>　レベル　4</v>
      </c>
      <c r="G95" s="946" t="s">
        <v>2659</v>
      </c>
      <c r="H95" s="947"/>
      <c r="I95" s="946" t="s">
        <v>2013</v>
      </c>
      <c r="J95" s="947"/>
      <c r="K95" s="942" t="str">
        <f>IF(K84=$S$14,$T$12,IF(AND($O$3&lt;&gt;$U$3,ROUNDDOWN(K84,0)=$S$12),$U$12,$T$12))</f>
        <v>　レベル　4</v>
      </c>
      <c r="L95" s="950" t="s">
        <v>325</v>
      </c>
      <c r="M95" s="3402"/>
      <c r="N95" s="3391"/>
      <c r="O95" s="3386"/>
    </row>
    <row r="96" spans="2:15" ht="15.75">
      <c r="D96" s="908"/>
      <c r="E96" s="909"/>
      <c r="F96" s="953" t="str">
        <f>IF(F84=$S$14,$T$13,IF(AND($O$3&lt;&gt;$U$3,ROUNDDOWN(F84,0)=$S$13),$U$13,$T$13))</f>
        <v>　レベル　5</v>
      </c>
      <c r="G96" s="957" t="s">
        <v>2014</v>
      </c>
      <c r="H96" s="958"/>
      <c r="I96" s="957" t="s">
        <v>2015</v>
      </c>
      <c r="J96" s="958"/>
      <c r="K96" s="953" t="str">
        <f>IF(K84=$S$14,$T$13,IF(AND($O$3&lt;&gt;$U$3,ROUNDDOWN(K84,0)=$S$13),$U$13,$T$13))</f>
        <v>　レベル　5</v>
      </c>
      <c r="L96" s="954" t="s">
        <v>2016</v>
      </c>
      <c r="M96" s="3407"/>
      <c r="N96" s="3390"/>
      <c r="O96" s="3384"/>
    </row>
    <row r="97" spans="2:15" ht="15.75">
      <c r="D97" s="908"/>
      <c r="E97" s="909"/>
      <c r="F97" s="909"/>
      <c r="G97" s="995"/>
      <c r="H97" s="995"/>
      <c r="I97" s="995"/>
      <c r="J97" s="995"/>
      <c r="K97" s="995"/>
      <c r="L97" s="995"/>
      <c r="M97" s="995"/>
      <c r="N97" s="995"/>
      <c r="O97" s="995"/>
    </row>
    <row r="98" spans="2:15" ht="15.75">
      <c r="D98" s="903"/>
      <c r="E98" s="904"/>
      <c r="F98" s="919" t="s">
        <v>326</v>
      </c>
      <c r="G98" s="996"/>
      <c r="H98" s="1045"/>
      <c r="I98" s="1025"/>
      <c r="J98" s="999" t="str">
        <f>IF(OR(F100=0,AND(J99=0,O99=0)),$R$3,"")</f>
        <v>&lt;評価しない&gt;</v>
      </c>
      <c r="K98" s="995"/>
      <c r="L98" s="996"/>
      <c r="M98" s="1045"/>
      <c r="N98" s="1025"/>
      <c r="O98" s="1025"/>
    </row>
    <row r="99" spans="2:15" ht="16.5" thickBot="1">
      <c r="D99" s="908"/>
      <c r="E99" s="1058"/>
      <c r="F99" s="923" t="s">
        <v>327</v>
      </c>
      <c r="G99" s="924"/>
      <c r="H99" s="925"/>
      <c r="I99" s="926" t="s">
        <v>1364</v>
      </c>
      <c r="J99" s="929">
        <f>重み!M17</f>
        <v>0</v>
      </c>
      <c r="K99" s="923" t="s">
        <v>1968</v>
      </c>
      <c r="L99" s="924"/>
      <c r="M99" s="925"/>
      <c r="N99" s="926" t="s">
        <v>1364</v>
      </c>
      <c r="O99" s="929">
        <f>重み!N17</f>
        <v>0</v>
      </c>
    </row>
    <row r="100" spans="2:15" ht="27" customHeight="1" thickBot="1">
      <c r="D100" s="908"/>
      <c r="E100" s="1058"/>
      <c r="F100" s="930">
        <v>3</v>
      </c>
      <c r="G100" s="1046" t="s">
        <v>2017</v>
      </c>
      <c r="H100" s="935"/>
      <c r="I100" s="935"/>
      <c r="J100" s="936"/>
      <c r="K100" s="930">
        <v>3</v>
      </c>
      <c r="L100" s="1046" t="s">
        <v>328</v>
      </c>
      <c r="M100" s="935"/>
      <c r="N100" s="935"/>
      <c r="O100" s="936"/>
    </row>
    <row r="101" spans="2:15" ht="15.75" hidden="1">
      <c r="B101" s="1">
        <v>1</v>
      </c>
      <c r="C101" s="1">
        <v>1</v>
      </c>
      <c r="D101" s="908"/>
      <c r="E101" s="1058"/>
      <c r="F101" s="1047"/>
      <c r="G101" s="1046" t="s">
        <v>1266</v>
      </c>
      <c r="H101" s="935"/>
      <c r="I101" s="935"/>
      <c r="J101" s="936"/>
      <c r="K101" s="1047"/>
      <c r="L101" s="1046" t="s">
        <v>1266</v>
      </c>
      <c r="M101" s="935"/>
      <c r="N101" s="935"/>
      <c r="O101" s="936"/>
    </row>
    <row r="102" spans="2:15" ht="15.75" hidden="1">
      <c r="B102" s="1">
        <v>2</v>
      </c>
      <c r="C102" s="1">
        <v>2</v>
      </c>
      <c r="D102" s="908"/>
      <c r="E102" s="1059"/>
      <c r="F102" s="942" t="str">
        <f>IF(F100=$S$14,$T$9,IF(AND($O$3=$U$3,ROUNDDOWN(F100,0)=$S$9),$U$9,$T$9))</f>
        <v>　レベル　1</v>
      </c>
      <c r="G102" s="939" t="s">
        <v>329</v>
      </c>
      <c r="H102" s="940"/>
      <c r="I102" s="940"/>
      <c r="J102" s="941"/>
      <c r="K102" s="942" t="str">
        <f>IF(K100=$S$14,$T$9,IF(AND($O$3=$U$3,ROUNDDOWN(K100,0)=$S$9),$U$9,$T$9))</f>
        <v>　レベル　1</v>
      </c>
      <c r="L102" s="939" t="s">
        <v>643</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　レベル　3</v>
      </c>
      <c r="G104" s="946" t="s">
        <v>643</v>
      </c>
      <c r="H104" s="947"/>
      <c r="I104" s="947"/>
      <c r="J104" s="948"/>
      <c r="K104" s="942" t="str">
        <f>IF(K100=$S$14,$T$11,IF(AND($O$3=$U$3,ROUNDDOWN(K100,0)=$S$11),$U$11,$T$11))</f>
        <v>　レベル　3</v>
      </c>
      <c r="L104" s="946" t="s">
        <v>644</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645</v>
      </c>
      <c r="H106" s="958"/>
      <c r="I106" s="958"/>
      <c r="J106" s="959"/>
      <c r="K106" s="953" t="str">
        <f>IF(K100=$S$14,$T$13,IF(AND($O$3=$U$3,ROUNDDOWN(K100,0)=$S$13),$U$13,$T$13))</f>
        <v>　レベル　5</v>
      </c>
      <c r="L106" s="957" t="s">
        <v>646</v>
      </c>
      <c r="M106" s="958"/>
      <c r="N106" s="958"/>
      <c r="O106" s="959"/>
    </row>
    <row r="107" spans="2:15" ht="15.75" hidden="1">
      <c r="D107" s="908"/>
      <c r="E107" s="909"/>
      <c r="F107" s="1048"/>
      <c r="G107" s="1046" t="s">
        <v>1265</v>
      </c>
      <c r="H107" s="935"/>
      <c r="I107" s="935"/>
      <c r="J107" s="936"/>
      <c r="K107" s="1048"/>
      <c r="L107" s="1046" t="s">
        <v>1265</v>
      </c>
      <c r="M107" s="935"/>
      <c r="N107" s="935"/>
      <c r="O107" s="936"/>
    </row>
    <row r="108" spans="2:15" ht="15.75">
      <c r="D108" s="908"/>
      <c r="E108" s="909"/>
      <c r="F108" s="1049" t="str">
        <f>IF(F100=$S$14,$T$9,IF(AND($O$3&lt;&gt;$U$3,ROUNDDOWN(F100,0)=$S$9),$U$9,$T$9))</f>
        <v>　レベル　1</v>
      </c>
      <c r="G108" s="939" t="s">
        <v>647</v>
      </c>
      <c r="H108" s="940"/>
      <c r="I108" s="940"/>
      <c r="J108" s="941"/>
      <c r="K108" s="1049" t="str">
        <f>IF(K100=$S$14,$T$9,IF(AND($O$3&lt;&gt;$U$3,ROUNDDOWN(K100,0)=$S$9),$U$9,$T$9))</f>
        <v>　レベル　1</v>
      </c>
      <c r="L108" s="939" t="s">
        <v>648</v>
      </c>
      <c r="M108" s="940"/>
      <c r="N108" s="940"/>
      <c r="O108" s="941"/>
    </row>
    <row r="109" spans="2:15" ht="15.75">
      <c r="D109" s="908"/>
      <c r="E109" s="909"/>
      <c r="F109" s="942" t="str">
        <f>IF(F100=$S$14,$T$10,IF(AND($O$3&lt;&gt;$U$3,ROUNDDOWN(F100,0)=$S$10),$U$10,$T$10))</f>
        <v>　レベル　2</v>
      </c>
      <c r="G109" s="946" t="s">
        <v>649</v>
      </c>
      <c r="H109" s="947"/>
      <c r="I109" s="947"/>
      <c r="J109" s="948"/>
      <c r="K109" s="942" t="str">
        <f>IF(K100=$S$14,$T$10,IF(AND($O$3&lt;&gt;$U$3,ROUNDDOWN(K100,0)=$S$10),$U$10,$T$10))</f>
        <v>　レベル　2</v>
      </c>
      <c r="L109" s="946" t="s">
        <v>1891</v>
      </c>
      <c r="M109" s="947"/>
      <c r="N109" s="947"/>
      <c r="O109" s="948"/>
    </row>
    <row r="110" spans="2:15" ht="15.75">
      <c r="D110" s="908"/>
      <c r="E110" s="909"/>
      <c r="F110" s="942" t="str">
        <f>IF(F100=$S$14,$T$11,IF(AND($O$3&lt;&gt;$U$3,ROUNDDOWN(F100,0)=$S$11),$U$11,$T$11))</f>
        <v>■レベル　3</v>
      </c>
      <c r="G110" s="946" t="s">
        <v>1892</v>
      </c>
      <c r="H110" s="947"/>
      <c r="I110" s="947"/>
      <c r="J110" s="948"/>
      <c r="K110" s="942" t="str">
        <f>IF(K100=$S$14,$T$11,IF(AND($O$3&lt;&gt;$U$3,ROUNDDOWN(K100,0)=$S$11),$U$11,$T$11))</f>
        <v>■レベル　3</v>
      </c>
      <c r="L110" s="946" t="s">
        <v>1893</v>
      </c>
      <c r="M110" s="947"/>
      <c r="N110" s="947"/>
      <c r="O110" s="948"/>
    </row>
    <row r="111" spans="2:15" ht="15.75">
      <c r="D111" s="908"/>
      <c r="E111" s="909"/>
      <c r="F111" s="942" t="str">
        <f>IF(F100=$S$14,$T$12,IF(AND($O$3&lt;&gt;$U$3,ROUNDDOWN(F100,0)=$S$12),$U$12,$T$12))</f>
        <v>　レベル　4</v>
      </c>
      <c r="G111" s="946" t="s">
        <v>1891</v>
      </c>
      <c r="H111" s="947"/>
      <c r="I111" s="947"/>
      <c r="J111" s="948"/>
      <c r="K111" s="942" t="str">
        <f>IF(K100=$S$14,$T$12,IF(AND($O$3&lt;&gt;$U$3,ROUNDDOWN(K100,0)=$S$12),$U$12,$T$12))</f>
        <v>　レベル　4</v>
      </c>
      <c r="L111" s="946" t="s">
        <v>1894</v>
      </c>
      <c r="M111" s="947"/>
      <c r="N111" s="947"/>
      <c r="O111" s="948"/>
    </row>
    <row r="112" spans="2:15" ht="15.75">
      <c r="D112" s="908"/>
      <c r="E112" s="909"/>
      <c r="F112" s="953" t="str">
        <f>IF(F100=$S$14,$T$13,IF(AND($O$3&lt;&gt;$U$3,ROUNDDOWN(F100,0)=$S$13),$U$13,$T$13))</f>
        <v>　レベル　5</v>
      </c>
      <c r="G112" s="957" t="s">
        <v>1895</v>
      </c>
      <c r="H112" s="958"/>
      <c r="I112" s="958"/>
      <c r="J112" s="959"/>
      <c r="K112" s="953" t="str">
        <f>IF(K100=$S$14,$T$13,IF(AND($O$3&lt;&gt;$U$3,ROUNDDOWN(K100,0)=$S$13),$U$13,$T$13))</f>
        <v>　レベル　5</v>
      </c>
      <c r="L112" s="957" t="s">
        <v>2233</v>
      </c>
      <c r="M112" s="958"/>
      <c r="N112" s="958"/>
      <c r="O112" s="959"/>
    </row>
    <row r="113" spans="2:15" ht="15.75">
      <c r="D113" s="908"/>
      <c r="E113" s="909"/>
      <c r="F113" s="909"/>
      <c r="G113" s="995"/>
      <c r="H113" s="995"/>
      <c r="I113" s="995"/>
      <c r="J113" s="995"/>
      <c r="K113" s="995"/>
      <c r="L113" s="1050"/>
      <c r="M113" s="1050"/>
      <c r="N113" s="1050"/>
      <c r="O113" s="1050"/>
    </row>
    <row r="114" spans="2:15" ht="15.75">
      <c r="D114" s="2278"/>
      <c r="E114" s="913"/>
      <c r="F114" s="919" t="s">
        <v>2234</v>
      </c>
      <c r="G114" s="996"/>
      <c r="H114" s="1045"/>
      <c r="I114" s="1025"/>
      <c r="J114" s="999" t="str">
        <f>IF(OR(F116=0,AND(J115=0,O115=0)),$R$3,"")</f>
        <v>&lt;評価しない&gt;</v>
      </c>
      <c r="K114" s="995"/>
      <c r="L114" s="996"/>
      <c r="M114" s="1045"/>
      <c r="N114" s="1025"/>
      <c r="O114" s="1025"/>
    </row>
    <row r="115" spans="2:15" ht="16.5" thickBot="1">
      <c r="D115" s="908"/>
      <c r="E115" s="909"/>
      <c r="F115" s="923" t="s">
        <v>1856</v>
      </c>
      <c r="G115" s="924"/>
      <c r="H115" s="925"/>
      <c r="I115" s="926" t="s">
        <v>1364</v>
      </c>
      <c r="J115" s="929">
        <f>重み!M18</f>
        <v>0</v>
      </c>
      <c r="K115" s="923" t="s">
        <v>1968</v>
      </c>
      <c r="L115" s="924"/>
      <c r="M115" s="925"/>
      <c r="N115" s="926" t="s">
        <v>1364</v>
      </c>
      <c r="O115" s="929">
        <f>重み!N18</f>
        <v>0</v>
      </c>
    </row>
    <row r="116" spans="2:15" ht="27" customHeight="1" thickBot="1">
      <c r="D116" s="908"/>
      <c r="E116" s="909"/>
      <c r="F116" s="930">
        <v>3</v>
      </c>
      <c r="G116" s="1046" t="s">
        <v>2017</v>
      </c>
      <c r="H116" s="935"/>
      <c r="I116" s="935"/>
      <c r="J116" s="936"/>
      <c r="K116" s="930">
        <v>3</v>
      </c>
      <c r="L116" s="1046" t="s">
        <v>328</v>
      </c>
      <c r="M116" s="935"/>
      <c r="N116" s="935"/>
      <c r="O116" s="936"/>
    </row>
    <row r="117" spans="2:15" ht="15.75" hidden="1">
      <c r="B117" s="1">
        <v>1</v>
      </c>
      <c r="C117" s="1">
        <v>1</v>
      </c>
      <c r="D117" s="908"/>
      <c r="E117" s="909"/>
      <c r="F117" s="1047"/>
      <c r="G117" s="1046" t="s">
        <v>1266</v>
      </c>
      <c r="H117" s="935"/>
      <c r="I117" s="935"/>
      <c r="J117" s="936"/>
      <c r="K117" s="1047"/>
      <c r="L117" s="1046" t="s">
        <v>1266</v>
      </c>
      <c r="M117" s="935"/>
      <c r="N117" s="935"/>
      <c r="O117" s="936"/>
    </row>
    <row r="118" spans="2:15" ht="15.75" hidden="1">
      <c r="B118" s="1">
        <v>2</v>
      </c>
      <c r="C118" s="1">
        <v>2</v>
      </c>
      <c r="D118" s="908"/>
      <c r="E118" s="909"/>
      <c r="F118" s="942" t="str">
        <f>IF(F116=$S$14,$T$9,IF(AND($O$3=$U$3,ROUNDDOWN(F116,0)=$S$9),$U$9,$T$9))</f>
        <v>　レベル　1</v>
      </c>
      <c r="G118" s="939" t="s">
        <v>2235</v>
      </c>
      <c r="H118" s="940"/>
      <c r="I118" s="940"/>
      <c r="J118" s="941"/>
      <c r="K118" s="942" t="str">
        <f>IF(K116=$S$14,$T$9,IF(AND($O$3=$U$3,ROUNDDOWN(K116,0)=$S$9),$U$9,$T$9))</f>
        <v>　レベル　1</v>
      </c>
      <c r="L118" s="939" t="s">
        <v>2236</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　レベル　3</v>
      </c>
      <c r="G120" s="946" t="s">
        <v>2237</v>
      </c>
      <c r="H120" s="947"/>
      <c r="I120" s="947"/>
      <c r="J120" s="948"/>
      <c r="K120" s="942" t="str">
        <f>IF(K116=$S$14,$T$11,IF(AND($O$3=$U$3,ROUNDDOWN(K116,0)=$S$11),$U$11,$T$11))</f>
        <v>　レベル　3</v>
      </c>
      <c r="L120" s="946" t="s">
        <v>2238</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2239</v>
      </c>
      <c r="H122" s="958"/>
      <c r="I122" s="958"/>
      <c r="J122" s="959"/>
      <c r="K122" s="953" t="str">
        <f>IF(K116=$S$14,$T$13,IF(AND($O$3=$U$3,ROUNDDOWN(K116,0)=$S$13),$U$13,$T$13))</f>
        <v>　レベル　5</v>
      </c>
      <c r="L122" s="957" t="s">
        <v>2240</v>
      </c>
      <c r="M122" s="958"/>
      <c r="N122" s="958"/>
      <c r="O122" s="959"/>
    </row>
    <row r="123" spans="2:15" ht="15.75" hidden="1">
      <c r="D123" s="908"/>
      <c r="E123" s="909"/>
      <c r="F123" s="1048"/>
      <c r="G123" s="1046" t="s">
        <v>1265</v>
      </c>
      <c r="H123" s="935"/>
      <c r="I123" s="935"/>
      <c r="J123" s="936"/>
      <c r="K123" s="1048"/>
      <c r="L123" s="1046" t="s">
        <v>1265</v>
      </c>
      <c r="M123" s="935"/>
      <c r="N123" s="935"/>
      <c r="O123" s="936"/>
    </row>
    <row r="124" spans="2:15" ht="15.75">
      <c r="D124" s="908"/>
      <c r="E124" s="909"/>
      <c r="F124" s="1049" t="str">
        <f>IF(F116=$S$14,$T$9,IF(AND($O$3&lt;&gt;$U$3,ROUNDDOWN(F116,0)=$S$9),$U$9,$T$9))</f>
        <v>　レベル　1</v>
      </c>
      <c r="G124" s="939" t="s">
        <v>647</v>
      </c>
      <c r="H124" s="940"/>
      <c r="I124" s="940"/>
      <c r="J124" s="941"/>
      <c r="K124" s="1049" t="str">
        <f>IF(K116=$S$14,$T$9,IF(AND($O$3&lt;&gt;$U$3,ROUNDDOWN(K116,0)=$S$9),$U$9,$T$9))</f>
        <v>　レベル　1</v>
      </c>
      <c r="L124" s="939" t="s">
        <v>2241</v>
      </c>
      <c r="M124" s="940"/>
      <c r="N124" s="940"/>
      <c r="O124" s="941"/>
    </row>
    <row r="125" spans="2:15" ht="15.75">
      <c r="D125" s="908"/>
      <c r="E125" s="909"/>
      <c r="F125" s="942" t="str">
        <f>IF(F116=$S$14,$T$10,IF(AND($O$3&lt;&gt;$U$3,ROUNDDOWN(F116,0)=$S$10),$U$10,$T$10))</f>
        <v>　レベル　2</v>
      </c>
      <c r="G125" s="946" t="s">
        <v>649</v>
      </c>
      <c r="H125" s="947"/>
      <c r="I125" s="947"/>
      <c r="J125" s="948"/>
      <c r="K125" s="942" t="str">
        <f>IF(K116=$S$14,$T$10,IF(AND($O$3&lt;&gt;$U$3,ROUNDDOWN(K116,0)=$S$10),$U$10,$T$10))</f>
        <v>　レベル　2</v>
      </c>
      <c r="L125" s="946" t="s">
        <v>1892</v>
      </c>
      <c r="M125" s="947"/>
      <c r="N125" s="947"/>
      <c r="O125" s="948"/>
    </row>
    <row r="126" spans="2:15" ht="15.75">
      <c r="D126" s="908"/>
      <c r="E126" s="909"/>
      <c r="F126" s="942" t="str">
        <f>IF(F116=$S$14,$T$11,IF(AND($O$3&lt;&gt;$U$3,ROUNDDOWN(F116,0)=$S$11),$U$11,$T$11))</f>
        <v>■レベル　3</v>
      </c>
      <c r="G126" s="946" t="s">
        <v>1892</v>
      </c>
      <c r="H126" s="947"/>
      <c r="I126" s="947"/>
      <c r="J126" s="948"/>
      <c r="K126" s="942" t="str">
        <f>IF(K116=$S$14,$T$11,IF(AND($O$3&lt;&gt;$U$3,ROUNDDOWN(K116,0)=$S$11),$U$11,$T$11))</f>
        <v>■レベル　3</v>
      </c>
      <c r="L126" s="946" t="s">
        <v>1891</v>
      </c>
      <c r="M126" s="947"/>
      <c r="N126" s="947"/>
      <c r="O126" s="948"/>
    </row>
    <row r="127" spans="2:15" ht="15.75">
      <c r="D127" s="908"/>
      <c r="E127" s="909"/>
      <c r="F127" s="942" t="str">
        <f>IF(F116=$S$14,$T$12,IF(AND($O$3&lt;&gt;$U$3,ROUNDDOWN(F116,0)=$S$12),$U$12,$T$12))</f>
        <v>　レベル　4</v>
      </c>
      <c r="G127" s="946" t="s">
        <v>1891</v>
      </c>
      <c r="H127" s="947"/>
      <c r="I127" s="947"/>
      <c r="J127" s="948"/>
      <c r="K127" s="942" t="str">
        <f>IF(K116=$S$14,$T$12,IF(AND($O$3&lt;&gt;$U$3,ROUNDDOWN(K116,0)=$S$12),$U$12,$T$12))</f>
        <v>　レベル　4</v>
      </c>
      <c r="L127" s="946" t="s">
        <v>1893</v>
      </c>
      <c r="M127" s="947"/>
      <c r="N127" s="947"/>
      <c r="O127" s="948"/>
    </row>
    <row r="128" spans="2:15" ht="15.75">
      <c r="D128" s="908"/>
      <c r="E128" s="909"/>
      <c r="F128" s="953" t="str">
        <f>IF(F116=$S$14,$T$13,IF(AND($O$3&lt;&gt;$U$3,ROUNDDOWN(F116,0)=$S$13),$U$13,$T$13))</f>
        <v>　レベル　5</v>
      </c>
      <c r="G128" s="957" t="s">
        <v>1895</v>
      </c>
      <c r="H128" s="958"/>
      <c r="I128" s="958"/>
      <c r="J128" s="959"/>
      <c r="K128" s="953" t="str">
        <f>IF(K116=$S$14,$T$13,IF(AND($O$3&lt;&gt;$U$3,ROUNDDOWN(K116,0)=$S$13),$U$13,$T$13))</f>
        <v>　レベル　5</v>
      </c>
      <c r="L128" s="957" t="s">
        <v>2242</v>
      </c>
      <c r="M128" s="958"/>
      <c r="N128" s="958"/>
      <c r="O128" s="959"/>
    </row>
    <row r="129" spans="2:15" ht="15.75">
      <c r="D129" s="908"/>
      <c r="E129" s="909"/>
      <c r="F129" s="909"/>
      <c r="G129" s="1060"/>
      <c r="H129" s="995"/>
      <c r="I129" s="995"/>
      <c r="J129" s="995"/>
      <c r="K129" s="995"/>
      <c r="L129" s="1050"/>
      <c r="M129" s="1050"/>
      <c r="N129" s="1050"/>
      <c r="O129" s="1050"/>
    </row>
    <row r="130" spans="2:15" ht="15.75">
      <c r="D130" s="1326">
        <v>1.3</v>
      </c>
      <c r="E130" s="915" t="s">
        <v>2018</v>
      </c>
      <c r="F130" s="919"/>
      <c r="G130" s="996"/>
      <c r="H130" s="1045"/>
      <c r="I130" s="1025"/>
      <c r="J130" s="999" t="str">
        <f>IF(OR(F132=0,AND(J131=0,O131=0)),$R$3,"")</f>
        <v/>
      </c>
      <c r="K130" s="995"/>
      <c r="L130" s="996"/>
      <c r="M130" s="1045"/>
      <c r="N130" s="1025"/>
      <c r="O130" s="1025"/>
    </row>
    <row r="131" spans="2:15" ht="16.5" thickBot="1">
      <c r="D131" s="908"/>
      <c r="E131" s="904"/>
      <c r="F131" s="923" t="s">
        <v>1967</v>
      </c>
      <c r="G131" s="924"/>
      <c r="H131" s="925"/>
      <c r="I131" s="926" t="s">
        <v>1364</v>
      </c>
      <c r="J131" s="929">
        <f>重み!M19</f>
        <v>0.2</v>
      </c>
      <c r="K131" s="923" t="s">
        <v>1968</v>
      </c>
      <c r="L131" s="924"/>
      <c r="M131" s="925"/>
      <c r="N131" s="926" t="s">
        <v>1364</v>
      </c>
      <c r="O131" s="929">
        <f>重み!N19</f>
        <v>0</v>
      </c>
    </row>
    <row r="132" spans="2:15" ht="27" customHeight="1" thickBot="1">
      <c r="D132" s="908"/>
      <c r="E132" s="904"/>
      <c r="F132" s="930">
        <v>3</v>
      </c>
      <c r="G132" s="934" t="s">
        <v>2020</v>
      </c>
      <c r="H132" s="935"/>
      <c r="I132" s="935"/>
      <c r="J132" s="936"/>
      <c r="K132" s="930">
        <v>3</v>
      </c>
      <c r="L132" s="934" t="s">
        <v>2243</v>
      </c>
      <c r="M132" s="935"/>
      <c r="N132" s="935"/>
      <c r="O132" s="936"/>
    </row>
    <row r="133" spans="2:15" ht="15.75">
      <c r="B133" s="1">
        <v>1</v>
      </c>
      <c r="C133" s="1">
        <v>1</v>
      </c>
      <c r="D133" s="908"/>
      <c r="E133" s="904"/>
      <c r="F133" s="937" t="str">
        <f>IF(F132=$S$14,$T$9,IF(ROUNDDOWN(F132,0)=$S$9,$U$9,$T$9))</f>
        <v>　レベル　1</v>
      </c>
      <c r="G133" s="939" t="s">
        <v>2021</v>
      </c>
      <c r="H133" s="940"/>
      <c r="I133" s="940"/>
      <c r="J133" s="941"/>
      <c r="K133" s="937" t="str">
        <f>IF(K132=$S$14,$T$9,IF(ROUNDDOWN(K132,0)=$S$9,$U$9,$T$9))</f>
        <v>　レベル　1</v>
      </c>
      <c r="L133" s="939" t="s">
        <v>2021</v>
      </c>
      <c r="M133" s="940"/>
      <c r="N133" s="940"/>
      <c r="O133" s="941"/>
    </row>
    <row r="134" spans="2:15" ht="15.75">
      <c r="B134" s="1" t="s">
        <v>2177</v>
      </c>
      <c r="C134" s="1" t="s">
        <v>2177</v>
      </c>
      <c r="D134" s="908"/>
      <c r="E134" s="904"/>
      <c r="F134" s="942" t="str">
        <f>IF(F132=$S$14,$T$10,IF(ROUNDDOWN(F132,0)=$S$10,$U$10,$T$10))</f>
        <v>　レベル　2</v>
      </c>
      <c r="G134" s="946" t="s">
        <v>359</v>
      </c>
      <c r="H134" s="947"/>
      <c r="I134" s="947"/>
      <c r="J134" s="948"/>
      <c r="K134" s="942" t="str">
        <f>IF(K132=$S$14,$T$10,IF(ROUNDDOWN(K132,0)=$S$10,$U$10,$T$10))</f>
        <v>　レベル　2</v>
      </c>
      <c r="L134" s="946" t="s">
        <v>359</v>
      </c>
      <c r="M134" s="947"/>
      <c r="N134" s="947"/>
      <c r="O134" s="948"/>
    </row>
    <row r="135" spans="2:15" ht="15.75">
      <c r="B135" s="1">
        <v>3</v>
      </c>
      <c r="C135" s="1">
        <v>3</v>
      </c>
      <c r="D135" s="908"/>
      <c r="E135" s="904"/>
      <c r="F135" s="942" t="str">
        <f>IF(F132=$S$14,$T$11,IF(ROUNDDOWN(F132,0)=$S$11,$U$11,$T$11))</f>
        <v>■レベル　3</v>
      </c>
      <c r="G135" s="946" t="s">
        <v>2022</v>
      </c>
      <c r="H135" s="947"/>
      <c r="I135" s="947"/>
      <c r="J135" s="948"/>
      <c r="K135" s="942" t="str">
        <f>IF(K132=$S$14,$T$11,IF(ROUNDDOWN(K132,0)=$S$11,$U$11,$T$11))</f>
        <v>■レベル　3</v>
      </c>
      <c r="L135" s="946" t="s">
        <v>2022</v>
      </c>
      <c r="M135" s="947"/>
      <c r="N135" s="947"/>
      <c r="O135" s="948"/>
    </row>
    <row r="136" spans="2:15" ht="15.75">
      <c r="B136" s="1">
        <v>4</v>
      </c>
      <c r="C136" s="1">
        <v>4</v>
      </c>
      <c r="D136" s="908"/>
      <c r="E136" s="904"/>
      <c r="F136" s="942" t="str">
        <f>IF(F132=$S$14,$T$12,IF(ROUNDDOWN(F132,0)=$S$12,$U$12,$T$12))</f>
        <v>　レベル　4</v>
      </c>
      <c r="G136" s="946" t="s">
        <v>2244</v>
      </c>
      <c r="H136" s="947"/>
      <c r="I136" s="947"/>
      <c r="J136" s="948"/>
      <c r="K136" s="942" t="str">
        <f>IF(K132=$S$14,$T$12,IF(ROUNDDOWN(K132,0)=$S$12,$U$12,$T$12))</f>
        <v>　レベル　4</v>
      </c>
      <c r="L136" s="946" t="s">
        <v>2244</v>
      </c>
      <c r="M136" s="947"/>
      <c r="N136" s="947"/>
      <c r="O136" s="948"/>
    </row>
    <row r="137" spans="2:15" ht="15.75">
      <c r="B137" s="1">
        <v>5</v>
      </c>
      <c r="C137" s="1">
        <v>5</v>
      </c>
      <c r="D137" s="908"/>
      <c r="E137" s="904"/>
      <c r="F137" s="953" t="str">
        <f>IF(F132=$S$14,$T$13,IF(ROUNDDOWN(F132,0)=$S$13,$U$13,$T$13))</f>
        <v>　レベル　5</v>
      </c>
      <c r="G137" s="957" t="s">
        <v>2245</v>
      </c>
      <c r="H137" s="958"/>
      <c r="I137" s="958"/>
      <c r="J137" s="959"/>
      <c r="K137" s="953" t="str">
        <f>IF(K132=$S$14,$T$13,IF(ROUNDDOWN(K132,0)=$S$13,$U$13,$T$13))</f>
        <v>　レベル　5</v>
      </c>
      <c r="L137" s="957" t="s">
        <v>2245</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6">
        <v>2</v>
      </c>
      <c r="E139" s="1042" t="s">
        <v>2023</v>
      </c>
      <c r="F139" s="916"/>
      <c r="G139" s="1044"/>
      <c r="H139" s="1044"/>
      <c r="I139" s="1044"/>
      <c r="J139" s="1044"/>
      <c r="K139" s="1044"/>
      <c r="L139" s="1044"/>
      <c r="M139" s="1044"/>
      <c r="N139" s="1044"/>
      <c r="O139" s="1044"/>
    </row>
    <row r="140" spans="2:15" ht="15.75">
      <c r="D140" s="1326">
        <v>2.1</v>
      </c>
      <c r="E140" s="1042" t="s">
        <v>2024</v>
      </c>
      <c r="F140" s="916"/>
      <c r="G140" s="1043"/>
      <c r="H140" s="1043"/>
      <c r="I140" s="1044"/>
      <c r="J140" s="1044"/>
      <c r="K140" s="1044"/>
      <c r="L140" s="1044"/>
      <c r="M140" s="1043"/>
      <c r="N140" s="1044"/>
      <c r="O140" s="1044"/>
    </row>
    <row r="141" spans="2:15" ht="15.75">
      <c r="D141" s="908"/>
      <c r="E141" s="913"/>
      <c r="F141" s="1064" t="s">
        <v>919</v>
      </c>
      <c r="G141" s="996"/>
      <c r="H141" s="996"/>
      <c r="I141" s="1045"/>
      <c r="J141" s="999" t="str">
        <f>IF(OR(F143=0,AND(J142=0,O142=0)),$R$3,"")</f>
        <v/>
      </c>
      <c r="K141" s="1025"/>
      <c r="L141" s="1025"/>
      <c r="M141" s="995"/>
      <c r="N141" s="1025"/>
      <c r="O141" s="1025"/>
    </row>
    <row r="142" spans="2:15" ht="16.5" thickBot="1">
      <c r="D142" s="908"/>
      <c r="E142" s="913"/>
      <c r="F142" s="1065" t="s">
        <v>2246</v>
      </c>
      <c r="G142" s="1066"/>
      <c r="H142" s="1067"/>
      <c r="I142" s="926" t="s">
        <v>1364</v>
      </c>
      <c r="J142" s="924">
        <f>重み!M22</f>
        <v>0.37499999999999994</v>
      </c>
      <c r="K142" s="1066"/>
      <c r="L142" s="1068"/>
      <c r="M142" s="1069" t="s">
        <v>2025</v>
      </c>
      <c r="N142" s="926" t="s">
        <v>1364</v>
      </c>
      <c r="O142" s="928">
        <f>重み!N22</f>
        <v>0</v>
      </c>
    </row>
    <row r="143" spans="2:15" ht="27" customHeight="1" thickBot="1">
      <c r="D143" s="908"/>
      <c r="E143" s="913"/>
      <c r="F143" s="930">
        <v>3</v>
      </c>
      <c r="G143" s="2837" t="s">
        <v>3331</v>
      </c>
      <c r="H143" s="2837" t="s">
        <v>2026</v>
      </c>
      <c r="I143" s="2837" t="s">
        <v>2027</v>
      </c>
      <c r="J143" s="2838" t="s">
        <v>3059</v>
      </c>
      <c r="K143" s="2838" t="s">
        <v>2028</v>
      </c>
      <c r="L143" s="2839" t="s">
        <v>3060</v>
      </c>
      <c r="M143" s="930">
        <v>3</v>
      </c>
      <c r="N143" s="2441" t="s">
        <v>2649</v>
      </c>
      <c r="O143" s="2840" t="s">
        <v>2247</v>
      </c>
    </row>
    <row r="144" spans="2:15" ht="15.75" hidden="1">
      <c r="B144" s="1">
        <v>1</v>
      </c>
      <c r="C144" s="1">
        <v>1</v>
      </c>
      <c r="D144" s="908"/>
      <c r="E144" s="913"/>
      <c r="F144" s="1047"/>
      <c r="G144" s="1046" t="s">
        <v>1266</v>
      </c>
      <c r="H144" s="935"/>
      <c r="I144" s="935"/>
      <c r="J144" s="935"/>
      <c r="K144" s="935"/>
      <c r="L144" s="935"/>
      <c r="M144" s="1047"/>
      <c r="N144" s="935" t="s">
        <v>1266</v>
      </c>
      <c r="O144" s="1073"/>
    </row>
    <row r="145" spans="2:15" ht="45" hidden="1" customHeight="1">
      <c r="B145" s="1">
        <v>2</v>
      </c>
      <c r="C145" s="1">
        <v>2</v>
      </c>
      <c r="D145" s="908"/>
      <c r="E145" s="913"/>
      <c r="F145" s="942" t="str">
        <f>IF(F143=$S$14,$T$9,IF(AND($O$3=$U$3,ROUNDDOWN(F143,0)=$S$9),$U$9,$T$9))</f>
        <v>　レベル　1</v>
      </c>
      <c r="G145" s="1074" t="s">
        <v>2029</v>
      </c>
      <c r="H145" s="938" t="s">
        <v>2248</v>
      </c>
      <c r="I145" s="938" t="s">
        <v>412</v>
      </c>
      <c r="J145" s="938" t="s">
        <v>2249</v>
      </c>
      <c r="K145" s="946" t="s">
        <v>2178</v>
      </c>
      <c r="L145" s="938" t="s">
        <v>2250</v>
      </c>
      <c r="M145" s="942" t="str">
        <f>IF(M143=$S$14,$T$9,IF(AND($O$3=$U$3,ROUNDDOWN(M143,0)=$S$9),$U$9,$T$9))</f>
        <v>　レベル　1</v>
      </c>
      <c r="N145" s="1003" t="s">
        <v>2248</v>
      </c>
      <c r="O145" s="1075" t="s">
        <v>2251</v>
      </c>
    </row>
    <row r="146" spans="2:15" ht="33.75" hidden="1" customHeight="1">
      <c r="B146" s="1">
        <v>3</v>
      </c>
      <c r="C146" s="1">
        <v>3</v>
      </c>
      <c r="D146" s="908"/>
      <c r="E146" s="913"/>
      <c r="F146" s="942" t="str">
        <f>IF(F143=$S$14,$T$10,IF(AND($O$3=$U$3,ROUNDDOWN(F143,0)=$S$10),$U$10,$T$10))</f>
        <v>　レベル　2</v>
      </c>
      <c r="G146" s="950" t="s">
        <v>414</v>
      </c>
      <c r="H146" s="950"/>
      <c r="I146" s="950"/>
      <c r="J146" s="950"/>
      <c r="K146" s="946" t="s">
        <v>2178</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2252</v>
      </c>
      <c r="H147" s="945" t="s">
        <v>2252</v>
      </c>
      <c r="I147" s="945" t="s">
        <v>1789</v>
      </c>
      <c r="J147" s="949" t="s">
        <v>1790</v>
      </c>
      <c r="K147" s="949" t="s">
        <v>1057</v>
      </c>
      <c r="L147" s="945" t="s">
        <v>398</v>
      </c>
      <c r="M147" s="942" t="str">
        <f>IF(M143=$S$14,$T$11,IF(AND($O$3=$U$3,ROUNDDOWN(M143,0)=$S$11),$U$11,$T$11))</f>
        <v>　レベル　3</v>
      </c>
      <c r="N147" s="950" t="s">
        <v>2252</v>
      </c>
      <c r="O147" s="951" t="s">
        <v>399</v>
      </c>
    </row>
    <row r="148" spans="2:15" ht="33.75" hidden="1" customHeight="1">
      <c r="B148" s="1">
        <v>5</v>
      </c>
      <c r="C148" s="1">
        <v>5</v>
      </c>
      <c r="D148" s="908"/>
      <c r="E148" s="913"/>
      <c r="F148" s="942" t="str">
        <f>IF(F143=$S$14,$T$12,IF(AND($O$3=$U$3,ROUNDDOWN(F143,0)=$S$12),$U$12,$T$12))</f>
        <v>　レベル　4</v>
      </c>
      <c r="G148" s="950"/>
      <c r="H148" s="950"/>
      <c r="I148" s="950"/>
      <c r="J148" s="951"/>
      <c r="K148" s="951" t="s">
        <v>554</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410" t="s">
        <v>400</v>
      </c>
      <c r="H149" s="3411"/>
      <c r="I149" s="3411"/>
      <c r="J149" s="3412"/>
      <c r="K149" s="955" t="s">
        <v>555</v>
      </c>
      <c r="L149" s="954" t="s">
        <v>559</v>
      </c>
      <c r="M149" s="953" t="str">
        <f>IF(M143=$S$14,$T$13,IF(AND($O$3=$U$3,ROUNDDOWN(M143,0)=$S$13),$U$13,$T$13))</f>
        <v>　レベル　5</v>
      </c>
      <c r="N149" s="954" t="s">
        <v>400</v>
      </c>
      <c r="O149" s="955" t="s">
        <v>401</v>
      </c>
    </row>
    <row r="150" spans="2:15" ht="15.75" hidden="1">
      <c r="D150" s="908"/>
      <c r="E150" s="913"/>
      <c r="F150" s="1048"/>
      <c r="G150" s="1046" t="s">
        <v>1265</v>
      </c>
      <c r="H150" s="935"/>
      <c r="I150" s="1067"/>
      <c r="J150" s="1067"/>
      <c r="K150" s="1067"/>
      <c r="L150" s="1067"/>
      <c r="M150" s="1048"/>
      <c r="N150" s="1046" t="s">
        <v>1265</v>
      </c>
      <c r="O150" s="1073"/>
    </row>
    <row r="151" spans="2:15" ht="97.5" customHeight="1">
      <c r="D151" s="908"/>
      <c r="E151" s="913"/>
      <c r="F151" s="1049" t="str">
        <f>IF(F143=$S$14,$T$9,IF(AND($O$3&lt;&gt;$U$3,ROUNDDOWN(F143,0)=$S$9),$U$9,$T$9))</f>
        <v>　レベル　1</v>
      </c>
      <c r="G151" s="1074" t="s">
        <v>2029</v>
      </c>
      <c r="H151" s="938" t="s">
        <v>2466</v>
      </c>
      <c r="I151" s="938" t="s">
        <v>402</v>
      </c>
      <c r="J151" s="938" t="s">
        <v>2467</v>
      </c>
      <c r="K151" s="2762" t="s">
        <v>2178</v>
      </c>
      <c r="L151" s="938" t="s">
        <v>2468</v>
      </c>
      <c r="M151" s="1049" t="str">
        <f>IF(M143=$S$14,$T$9,IF(AND($O$3&lt;&gt;$U$3,ROUNDDOWN(M143,0)=$S$9),$U$9,$T$9))</f>
        <v>　レベル　1</v>
      </c>
      <c r="N151" s="1003" t="s">
        <v>2466</v>
      </c>
      <c r="O151" s="1075" t="s">
        <v>2468</v>
      </c>
    </row>
    <row r="152" spans="2:15" ht="99" customHeight="1">
      <c r="D152" s="908"/>
      <c r="E152" s="913"/>
      <c r="F152" s="942" t="str">
        <f>IF(F143=$S$14,$T$10,IF(AND($O$3&lt;&gt;$U$3,ROUNDDOWN(F143,0)=$S$10),$U$10,$T$10))</f>
        <v>　レベル　2</v>
      </c>
      <c r="G152" s="950" t="s">
        <v>403</v>
      </c>
      <c r="H152" s="950"/>
      <c r="I152" s="950"/>
      <c r="J152" s="950"/>
      <c r="K152" s="946" t="s">
        <v>2178</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404</v>
      </c>
      <c r="H153" s="945" t="s">
        <v>2469</v>
      </c>
      <c r="I153" s="945" t="s">
        <v>405</v>
      </c>
      <c r="J153" s="949" t="s">
        <v>406</v>
      </c>
      <c r="K153" s="949" t="s">
        <v>922</v>
      </c>
      <c r="L153" s="945" t="s">
        <v>2470</v>
      </c>
      <c r="M153" s="942" t="str">
        <f>IF(M143=$S$14,$T$11,IF(AND($O$3&lt;&gt;$U$3,ROUNDDOWN(M143,0)=$S$11),$U$11,$T$11))</f>
        <v>■レベル　3</v>
      </c>
      <c r="N153" s="3385" t="s">
        <v>404</v>
      </c>
      <c r="O153" s="3386"/>
    </row>
    <row r="154" spans="2:15" ht="72" customHeight="1">
      <c r="D154" s="908"/>
      <c r="E154" s="913"/>
      <c r="F154" s="942" t="str">
        <f>IF(F143=$S$14,$T$12,IF(AND($O$3&lt;&gt;$U$3,ROUNDDOWN(F143,0)=$S$12),$U$12,$T$12))</f>
        <v>　レベル　4</v>
      </c>
      <c r="G154" s="950"/>
      <c r="H154" s="950"/>
      <c r="I154" s="950"/>
      <c r="J154" s="951"/>
      <c r="K154" s="951" t="s">
        <v>556</v>
      </c>
      <c r="L154" s="950"/>
      <c r="M154" s="942" t="str">
        <f>IF(M143=$S$14,$T$12,IF(AND($O$3&lt;&gt;$U$3,ROUNDDOWN(M143,0)=$S$12),$U$12,$T$12))</f>
        <v>　レベル　4</v>
      </c>
      <c r="N154" s="3385"/>
      <c r="O154" s="3386"/>
    </row>
    <row r="155" spans="2:15" ht="81" customHeight="1">
      <c r="D155" s="908"/>
      <c r="E155" s="913"/>
      <c r="F155" s="953" t="str">
        <f>IF(F143=$S$14,$T$13,IF(AND($O$3&lt;&gt;$U$3,ROUNDDOWN(F143,0)=$S$13),$U$13,$T$13))</f>
        <v>　レベル　5</v>
      </c>
      <c r="G155" s="3383" t="s">
        <v>1780</v>
      </c>
      <c r="H155" s="3407"/>
      <c r="I155" s="3407"/>
      <c r="J155" s="3413"/>
      <c r="K155" s="954" t="s">
        <v>558</v>
      </c>
      <c r="L155" s="954" t="s">
        <v>557</v>
      </c>
      <c r="M155" s="953" t="str">
        <f>IF(M143=$S$14,$T$13,IF(AND($O$3&lt;&gt;$U$3,ROUNDDOWN(M143,0)=$S$13),$U$13,$T$13))</f>
        <v>　レベル　5</v>
      </c>
      <c r="N155" s="3383" t="s">
        <v>1780</v>
      </c>
      <c r="O155" s="3384"/>
    </row>
    <row r="156" spans="2:15" ht="15.75" hidden="1">
      <c r="D156" s="908"/>
      <c r="E156" s="913"/>
      <c r="F156" s="913"/>
      <c r="G156" s="1050"/>
      <c r="H156" s="1050"/>
      <c r="I156" s="1050"/>
      <c r="J156" s="1050"/>
      <c r="K156" s="1050"/>
      <c r="L156" s="1050"/>
      <c r="M156" s="1050"/>
      <c r="N156" s="1050"/>
      <c r="O156" s="1050"/>
    </row>
    <row r="157" spans="2:15" ht="15.75" hidden="1">
      <c r="D157" s="908"/>
      <c r="E157" s="913"/>
      <c r="F157" s="2233" t="s">
        <v>2471</v>
      </c>
      <c r="G157" s="996"/>
      <c r="H157" s="1045"/>
      <c r="I157" s="1025"/>
      <c r="J157" s="999" t="str">
        <f>IF(OR(F159=0,J158=0),$R$3,"")</f>
        <v>&lt;評価しない&gt;</v>
      </c>
      <c r="K157" s="1050"/>
      <c r="L157" s="1050"/>
      <c r="M157" s="1050"/>
      <c r="N157" s="1050"/>
      <c r="O157" s="1050"/>
    </row>
    <row r="158" spans="2:15" ht="15.75" hidden="1">
      <c r="D158" s="908"/>
      <c r="E158" s="913"/>
      <c r="F158" s="923" t="s">
        <v>1781</v>
      </c>
      <c r="G158" s="924"/>
      <c r="H158" s="925"/>
      <c r="I158" s="926" t="s">
        <v>1364</v>
      </c>
      <c r="J158" s="929">
        <f>重み!M23</f>
        <v>0</v>
      </c>
      <c r="K158" s="1050"/>
      <c r="L158" s="1050"/>
      <c r="M158" s="1050"/>
      <c r="N158" s="1050"/>
      <c r="O158" s="1050"/>
    </row>
    <row r="159" spans="2:15" ht="16.5" hidden="1" thickBot="1">
      <c r="D159" s="908"/>
      <c r="E159" s="913"/>
      <c r="F159" s="930">
        <v>0</v>
      </c>
      <c r="G159" s="934" t="s">
        <v>2472</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2473</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2474</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1782</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2899</v>
      </c>
      <c r="G166" s="996"/>
      <c r="H166" s="1045"/>
      <c r="I166" s="1025"/>
      <c r="J166" s="999" t="str">
        <f>IF(OR(F168=0,AND(J167=0,O167=0)),$R$3,"")</f>
        <v/>
      </c>
      <c r="K166" s="1084"/>
      <c r="L166" s="996"/>
      <c r="M166" s="1045"/>
      <c r="N166" s="1025"/>
      <c r="O166" s="999"/>
    </row>
    <row r="167" spans="2:15" ht="16.5" thickBot="1">
      <c r="D167" s="908"/>
      <c r="E167" s="1058"/>
      <c r="F167" s="923" t="s">
        <v>487</v>
      </c>
      <c r="G167" s="924"/>
      <c r="H167" s="925"/>
      <c r="I167" s="926" t="s">
        <v>1364</v>
      </c>
      <c r="J167" s="929">
        <f>重み!M24</f>
        <v>0.25</v>
      </c>
      <c r="K167" s="923" t="s">
        <v>1968</v>
      </c>
      <c r="L167" s="924"/>
      <c r="M167" s="925"/>
      <c r="N167" s="926" t="s">
        <v>1364</v>
      </c>
      <c r="O167" s="929">
        <f>重み!N24</f>
        <v>0</v>
      </c>
    </row>
    <row r="168" spans="2:15" ht="27" customHeight="1" thickBot="1">
      <c r="D168" s="908"/>
      <c r="E168" s="1058"/>
      <c r="F168" s="930">
        <v>3</v>
      </c>
      <c r="G168" s="1046" t="s">
        <v>2660</v>
      </c>
      <c r="H168" s="935"/>
      <c r="I168" s="935"/>
      <c r="J168" s="936"/>
      <c r="K168" s="930">
        <v>3</v>
      </c>
      <c r="L168" s="1046" t="s">
        <v>2661</v>
      </c>
      <c r="M168" s="936"/>
      <c r="N168" s="1046" t="s">
        <v>1783</v>
      </c>
      <c r="O168" s="936"/>
    </row>
    <row r="169" spans="2:15" ht="15.75" hidden="1">
      <c r="B169" s="1">
        <v>1</v>
      </c>
      <c r="C169" s="1">
        <v>1</v>
      </c>
      <c r="D169" s="908"/>
      <c r="E169" s="1058"/>
      <c r="F169" s="1085"/>
      <c r="G169" s="1046" t="s">
        <v>1266</v>
      </c>
      <c r="H169" s="935"/>
      <c r="I169" s="935"/>
      <c r="J169" s="936"/>
      <c r="K169" s="1085"/>
      <c r="L169" s="1052" t="s">
        <v>1266</v>
      </c>
      <c r="M169" s="1053"/>
      <c r="N169" s="1052"/>
      <c r="O169" s="1053"/>
    </row>
    <row r="170" spans="2:15" ht="60" hidden="1" customHeight="1">
      <c r="B170" s="1">
        <v>2</v>
      </c>
      <c r="C170" s="1">
        <v>2</v>
      </c>
      <c r="D170" s="908"/>
      <c r="E170" s="1059"/>
      <c r="F170" s="942" t="str">
        <f>IF(F168=$S$14,$T$9,IF(AND($O$3=$U$3,ROUNDDOWN(F168,0)=$S$9),$U$9,$T$9))</f>
        <v>　レベル　1</v>
      </c>
      <c r="G170" s="3381" t="s">
        <v>2662</v>
      </c>
      <c r="H170" s="3401"/>
      <c r="I170" s="3401"/>
      <c r="J170" s="3387"/>
      <c r="K170" s="942" t="str">
        <f>IF(K168=$S$14,$T$9,IF(AND($O$3=$U$3,ROUNDDOWN(K168,0)=$S$9),$U$9,$T$9))</f>
        <v>　レベル　1</v>
      </c>
      <c r="L170" s="3385" t="s">
        <v>1784</v>
      </c>
      <c r="M170" s="3386"/>
      <c r="N170" s="3385" t="s">
        <v>91</v>
      </c>
      <c r="O170" s="3386"/>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385"/>
      <c r="M171" s="3386"/>
      <c r="N171" s="3385" t="s">
        <v>366</v>
      </c>
      <c r="O171" s="3386"/>
    </row>
    <row r="172" spans="2:15" ht="60" hidden="1" customHeight="1">
      <c r="B172" s="1">
        <v>4</v>
      </c>
      <c r="C172" s="1">
        <v>4</v>
      </c>
      <c r="D172" s="908"/>
      <c r="E172" s="1059"/>
      <c r="F172" s="942" t="str">
        <f>IF(F168=$S$14,$T$11,IF(AND($O$3=$U$3,ROUNDDOWN(F168,0)=$S$11),$U$11,$T$11))</f>
        <v>　レベル　3</v>
      </c>
      <c r="G172" s="3385" t="s">
        <v>2663</v>
      </c>
      <c r="H172" s="3408"/>
      <c r="I172" s="3408"/>
      <c r="J172" s="3409"/>
      <c r="K172" s="942" t="str">
        <f>IF(K168=$S$14,$T$11,IF(AND($O$3=$U$3,ROUNDDOWN(K168,0)=$S$11),$U$11,$T$11))</f>
        <v>　レベル　3</v>
      </c>
      <c r="L172" s="3385" t="s">
        <v>1785</v>
      </c>
      <c r="M172" s="3386"/>
      <c r="N172" s="3385" t="s">
        <v>367</v>
      </c>
      <c r="O172" s="3386"/>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385"/>
      <c r="M173" s="3386"/>
      <c r="N173" s="3385" t="s">
        <v>2178</v>
      </c>
      <c r="O173" s="3386"/>
    </row>
    <row r="174" spans="2:15" ht="60" hidden="1" customHeight="1">
      <c r="B174" s="960">
        <v>0</v>
      </c>
      <c r="C174" s="960">
        <v>0</v>
      </c>
      <c r="D174" s="908"/>
      <c r="E174" s="1059"/>
      <c r="F174" s="953" t="str">
        <f>IF(F168=$S$14,$T$13,IF(AND($O$3=$U$3,ROUNDDOWN(F168,0)=$S$13),$U$13,$T$13))</f>
        <v>　レベル　5</v>
      </c>
      <c r="G174" s="3383" t="s">
        <v>2664</v>
      </c>
      <c r="H174" s="3405"/>
      <c r="I174" s="3405"/>
      <c r="J174" s="3406"/>
      <c r="K174" s="953" t="str">
        <f>IF(K168=$S$14,$T$13,IF(AND($O$3=$U$3,ROUNDDOWN(K168,0)=$S$13),$U$13,$T$13))</f>
        <v>　レベル　5</v>
      </c>
      <c r="L174" s="3385" t="s">
        <v>1786</v>
      </c>
      <c r="M174" s="3386"/>
      <c r="N174" s="3385" t="s">
        <v>368</v>
      </c>
      <c r="O174" s="3386"/>
    </row>
    <row r="175" spans="2:15" ht="15.75" hidden="1">
      <c r="D175" s="908"/>
      <c r="E175" s="1059"/>
      <c r="F175" s="1048"/>
      <c r="G175" s="935" t="s">
        <v>1265</v>
      </c>
      <c r="H175" s="1067"/>
      <c r="I175" s="1067"/>
      <c r="J175" s="1067"/>
      <c r="K175" s="1048"/>
      <c r="L175" s="1067" t="s">
        <v>1265</v>
      </c>
      <c r="M175" s="1067"/>
      <c r="N175" s="1067"/>
      <c r="O175" s="1087"/>
    </row>
    <row r="176" spans="2:15" ht="84.75" customHeight="1">
      <c r="D176" s="908"/>
      <c r="E176" s="1059"/>
      <c r="F176" s="1049" t="str">
        <f>IF(F168=$S$14,$T$9,IF(AND($O$3&lt;&gt;$U$3,ROUNDDOWN(F168,0)=$S$9),$U$9,$T$9))</f>
        <v>　レベル　1</v>
      </c>
      <c r="G176" s="3381" t="s">
        <v>2665</v>
      </c>
      <c r="H176" s="3382"/>
      <c r="I176" s="3382"/>
      <c r="J176" s="3399"/>
      <c r="K176" s="1049" t="str">
        <f>IF(K168=$S$14,$T$9,IF(AND($O$3&lt;&gt;$U$3,ROUNDDOWN(K168,0)=$S$9),$U$9,$T$9))</f>
        <v>　レベル　1</v>
      </c>
      <c r="L176" s="3381" t="s">
        <v>3384</v>
      </c>
      <c r="M176" s="3399"/>
      <c r="N176" s="3385" t="s">
        <v>3388</v>
      </c>
      <c r="O176" s="3386"/>
    </row>
    <row r="177" spans="2:16" ht="49.5" customHeight="1">
      <c r="D177" s="908"/>
      <c r="E177" s="1059"/>
      <c r="F177" s="942" t="str">
        <f>IF(F168=$S$14,$T$10,IF(AND($O$3&lt;&gt;$U$3,ROUNDDOWN(F168,0)=$S$10),$U$10,$T$10))</f>
        <v>　レベル　2</v>
      </c>
      <c r="G177" s="3385"/>
      <c r="H177" s="3391"/>
      <c r="I177" s="3391"/>
      <c r="J177" s="3386"/>
      <c r="K177" s="942" t="str">
        <f>IF(K168=$S$14,$T$10,IF(AND($O$3&lt;&gt;$U$3,ROUNDDOWN(K168,0)=$S$10),$U$10,$T$10))</f>
        <v>　レベル　2</v>
      </c>
      <c r="L177" s="946"/>
      <c r="M177" s="1057"/>
      <c r="N177" s="3385" t="s">
        <v>3386</v>
      </c>
      <c r="O177" s="3386"/>
    </row>
    <row r="178" spans="2:16" ht="98.25" customHeight="1">
      <c r="D178" s="908"/>
      <c r="E178" s="1059"/>
      <c r="F178" s="942" t="str">
        <f>IF(F168=$S$14,$T$11,IF(AND($O$3&lt;&gt;$U$3,ROUNDDOWN(F168,0)=$S$11),$U$11,$T$11))</f>
        <v>■レベル　3</v>
      </c>
      <c r="G178" s="3385" t="s">
        <v>2901</v>
      </c>
      <c r="H178" s="3391"/>
      <c r="I178" s="3391"/>
      <c r="J178" s="3386"/>
      <c r="K178" s="942" t="str">
        <f>IF(K168=$S$14,$T$11,IF(AND($O$3&lt;&gt;$U$3,ROUNDDOWN(K168,0)=$S$11),$U$11,$T$11))</f>
        <v>■レベル　3</v>
      </c>
      <c r="L178" s="3385" t="s">
        <v>2902</v>
      </c>
      <c r="M178" s="3386"/>
      <c r="N178" s="3385" t="s">
        <v>3387</v>
      </c>
      <c r="O178" s="3386"/>
    </row>
    <row r="179" spans="2:16" ht="42.75" customHeight="1">
      <c r="D179" s="908"/>
      <c r="E179" s="1059"/>
      <c r="F179" s="942" t="str">
        <f>IF(F168=$S$14,$T$12,IF(AND($O$3&lt;&gt;$U$3,ROUNDDOWN(F168,0)=$S$12),$U$12,$T$12))</f>
        <v>　レベル　4</v>
      </c>
      <c r="G179" s="3385"/>
      <c r="H179" s="3391"/>
      <c r="I179" s="3391"/>
      <c r="J179" s="3386"/>
      <c r="K179" s="942" t="str">
        <f>IF(K168=$S$14,$T$12,IF(AND($O$3&lt;&gt;$U$3,ROUNDDOWN(K168,0)=$S$12),$U$12,$T$12))</f>
        <v>　レベル　4</v>
      </c>
      <c r="L179" s="946"/>
      <c r="M179" s="1057"/>
      <c r="N179" s="3385" t="s">
        <v>3389</v>
      </c>
      <c r="O179" s="3386"/>
    </row>
    <row r="180" spans="2:16" ht="98.25" customHeight="1">
      <c r="D180" s="908"/>
      <c r="E180" s="1059"/>
      <c r="F180" s="953" t="str">
        <f>IF(F168=$S$14,$T$13,IF(AND($O$3&lt;&gt;$U$3,ROUNDDOWN(F168,0)=$S$13),$U$13,$T$13))</f>
        <v>　レベル　5</v>
      </c>
      <c r="G180" s="3383" t="s">
        <v>2833</v>
      </c>
      <c r="H180" s="3390"/>
      <c r="I180" s="3390"/>
      <c r="J180" s="3384"/>
      <c r="K180" s="953" t="str">
        <f>IF(K168=$S$14,$T$13,IF(AND($O$3&lt;&gt;$U$3,ROUNDDOWN(K168,0)=$S$13),$U$13,$T$13))</f>
        <v>　レベル　5</v>
      </c>
      <c r="L180" s="3383" t="s">
        <v>2903</v>
      </c>
      <c r="M180" s="3384"/>
      <c r="N180" s="3383" t="s">
        <v>3390</v>
      </c>
      <c r="O180" s="3384"/>
    </row>
    <row r="181" spans="2:16" s="2687" customFormat="1" ht="60" customHeight="1">
      <c r="D181"/>
      <c r="E181"/>
      <c r="F181" s="2867" t="s">
        <v>3391</v>
      </c>
      <c r="G181" s="2868" t="str">
        <f>計画書!F11</f>
        <v>等級４を超える水準</v>
      </c>
      <c r="H181" s="2868"/>
      <c r="I181" s="2868" t="str">
        <f>計画書!F12</f>
        <v>＜１～７地域＞</v>
      </c>
      <c r="J181" s="3418"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418"/>
      <c r="L181" s="3418"/>
      <c r="M181" s="3418"/>
      <c r="N181" s="3418"/>
      <c r="O181" s="3418"/>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75">
      <c r="D183" s="908"/>
      <c r="E183" s="913"/>
      <c r="F183" s="913"/>
      <c r="G183" s="1050"/>
      <c r="H183" s="1050"/>
      <c r="I183" s="1050"/>
      <c r="J183" s="1050"/>
      <c r="K183" s="1050"/>
      <c r="L183" s="1050"/>
      <c r="M183" s="1050"/>
      <c r="N183" s="1050"/>
      <c r="O183" s="1050"/>
    </row>
    <row r="184" spans="2:16" ht="15.75">
      <c r="D184" s="908"/>
      <c r="E184" s="1059"/>
      <c r="F184" s="1064" t="s">
        <v>2904</v>
      </c>
      <c r="G184" s="996"/>
      <c r="H184" s="1045"/>
      <c r="I184" s="1025"/>
      <c r="J184" s="999" t="str">
        <f>IF(OR(F186=0,J185=0),$R$3,"")</f>
        <v/>
      </c>
      <c r="K184" s="1050"/>
      <c r="L184" s="1050"/>
      <c r="M184" s="1050"/>
      <c r="N184" s="1050"/>
      <c r="O184" s="1050"/>
    </row>
    <row r="185" spans="2:16" ht="15.75" customHeight="1" thickBot="1">
      <c r="D185" s="908"/>
      <c r="E185" s="1059"/>
      <c r="F185" s="1065" t="s">
        <v>2478</v>
      </c>
      <c r="G185" s="1066"/>
      <c r="H185" s="1067"/>
      <c r="I185" s="926" t="s">
        <v>1364</v>
      </c>
      <c r="J185" s="924">
        <f>重み!M25</f>
        <v>0.37499999999999994</v>
      </c>
      <c r="K185" s="1066"/>
      <c r="L185" s="1068"/>
      <c r="M185" s="1092" t="s">
        <v>503</v>
      </c>
      <c r="N185" s="1093"/>
      <c r="O185" s="2443" t="s">
        <v>1325</v>
      </c>
    </row>
    <row r="186" spans="2:16" ht="27" customHeight="1" thickBot="1">
      <c r="D186" s="908"/>
      <c r="E186" s="1059"/>
      <c r="F186" s="930">
        <v>3</v>
      </c>
      <c r="G186" s="935" t="s">
        <v>3332</v>
      </c>
      <c r="H186" s="935"/>
      <c r="I186" s="936"/>
      <c r="J186" s="1046" t="s">
        <v>3061</v>
      </c>
      <c r="K186" s="935"/>
      <c r="L186" s="935"/>
      <c r="M186" s="1094" t="s">
        <v>1787</v>
      </c>
      <c r="N186" s="1095"/>
      <c r="O186" s="2444"/>
    </row>
    <row r="187" spans="2:16" ht="51.75" customHeight="1">
      <c r="B187" s="1">
        <v>1</v>
      </c>
      <c r="C187" s="1">
        <v>1</v>
      </c>
      <c r="D187" s="908"/>
      <c r="E187" s="1059"/>
      <c r="F187" s="937" t="str">
        <f>IF(F186=$S$14,$T$9,IF(ROUNDDOWN(F186,0)=$S$9,$U$9,$T$9))</f>
        <v>　レベル　1</v>
      </c>
      <c r="G187" s="3381" t="s">
        <v>1788</v>
      </c>
      <c r="H187" s="3401"/>
      <c r="I187" s="3387"/>
      <c r="J187" s="3381" t="s">
        <v>504</v>
      </c>
      <c r="K187" s="3382"/>
      <c r="L187" s="3382"/>
      <c r="M187" s="3414" t="s">
        <v>505</v>
      </c>
      <c r="N187" s="3415"/>
      <c r="O187" s="2445" t="s">
        <v>3067</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385" t="s">
        <v>506</v>
      </c>
      <c r="H189" s="3391"/>
      <c r="I189" s="3386"/>
      <c r="J189" s="3385" t="s">
        <v>340</v>
      </c>
      <c r="K189" s="3391"/>
      <c r="L189" s="3391"/>
      <c r="M189" s="3416" t="s">
        <v>341</v>
      </c>
      <c r="N189" s="3417"/>
      <c r="O189" s="2446"/>
    </row>
    <row r="190" spans="2:16" ht="55.5" customHeight="1">
      <c r="B190" s="1">
        <v>4</v>
      </c>
      <c r="C190" s="1">
        <v>4</v>
      </c>
      <c r="D190" s="908"/>
      <c r="E190" s="1059"/>
      <c r="F190" s="942" t="str">
        <f>IF(F186=$S$14,$T$12,IF(ROUNDDOWN(F186,0)=$S$12,$U$12,$T$12))</f>
        <v>　レベル　4</v>
      </c>
      <c r="G190" s="3385" t="s">
        <v>342</v>
      </c>
      <c r="H190" s="3391"/>
      <c r="I190" s="3386"/>
      <c r="J190" s="3385" t="s">
        <v>2172</v>
      </c>
      <c r="K190" s="3391"/>
      <c r="L190" s="3391"/>
      <c r="M190" s="3416" t="s">
        <v>343</v>
      </c>
      <c r="N190" s="3417"/>
      <c r="O190" s="2446"/>
    </row>
    <row r="191" spans="2:16" ht="60.75" customHeight="1">
      <c r="B191" s="1">
        <v>5</v>
      </c>
      <c r="C191" s="1">
        <v>5</v>
      </c>
      <c r="D191" s="908"/>
      <c r="E191" s="1059"/>
      <c r="F191" s="953" t="str">
        <f>IF(F186=$S$14,$T$13,IF(ROUNDDOWN(F186,0)=$S$13,$U$13,$T$13))</f>
        <v>　レベル　5</v>
      </c>
      <c r="G191" s="3383" t="s">
        <v>608</v>
      </c>
      <c r="H191" s="3390"/>
      <c r="I191" s="3384"/>
      <c r="J191" s="3383" t="s">
        <v>344</v>
      </c>
      <c r="K191" s="3390"/>
      <c r="L191" s="3390"/>
      <c r="M191" s="3422" t="s">
        <v>1897</v>
      </c>
      <c r="N191" s="3423"/>
      <c r="O191" s="2447"/>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1898</v>
      </c>
      <c r="G193" s="996"/>
      <c r="H193" s="1045"/>
      <c r="I193" s="1025"/>
      <c r="J193" s="999" t="str">
        <f>IF(OR(F195=0,AND(J194=0,O194=0)),$R$3,"")</f>
        <v>&lt;評価しない&gt;</v>
      </c>
      <c r="K193" s="995"/>
      <c r="L193" s="996"/>
      <c r="M193" s="1045"/>
      <c r="N193" s="1025"/>
      <c r="O193" s="1025"/>
    </row>
    <row r="194" spans="2:15" ht="15.75" hidden="1">
      <c r="D194" s="908"/>
      <c r="E194" s="1058"/>
      <c r="F194" s="923" t="s">
        <v>2478</v>
      </c>
      <c r="G194" s="924"/>
      <c r="H194" s="925"/>
      <c r="I194" s="926" t="s">
        <v>1364</v>
      </c>
      <c r="J194" s="929">
        <f>重み!M26</f>
        <v>0</v>
      </c>
      <c r="K194" s="923" t="s">
        <v>1968</v>
      </c>
      <c r="L194" s="924"/>
      <c r="M194" s="925"/>
      <c r="N194" s="926" t="s">
        <v>1364</v>
      </c>
      <c r="O194" s="929">
        <f>重み!N26</f>
        <v>0</v>
      </c>
    </row>
    <row r="195" spans="2:15" ht="16.5" hidden="1" thickBot="1">
      <c r="D195" s="908"/>
      <c r="E195" s="1058"/>
      <c r="F195" s="930">
        <v>0</v>
      </c>
      <c r="G195" s="934" t="s">
        <v>1899</v>
      </c>
      <c r="H195" s="935"/>
      <c r="I195" s="935"/>
      <c r="J195" s="935"/>
      <c r="K195" s="930">
        <v>0</v>
      </c>
      <c r="L195" s="1046" t="s">
        <v>1118</v>
      </c>
      <c r="M195" s="936"/>
      <c r="N195" s="1046"/>
      <c r="O195" s="1051"/>
    </row>
    <row r="196" spans="2:15" ht="15.75" hidden="1" customHeight="1">
      <c r="B196" s="1">
        <v>1</v>
      </c>
      <c r="C196" s="1">
        <v>1</v>
      </c>
      <c r="D196" s="908"/>
      <c r="E196" s="1059"/>
      <c r="F196" s="937" t="str">
        <f>IF(F195=$S$14,$T$9,IF(ROUNDDOWN(F195,0)=$S$9,$U$9,$T$9))</f>
        <v>　レベル　1</v>
      </c>
      <c r="G196" s="3381" t="s">
        <v>1900</v>
      </c>
      <c r="H196" s="3401"/>
      <c r="I196" s="3401"/>
      <c r="J196" s="3387"/>
      <c r="K196" s="937" t="str">
        <f>IF(K195=$S$14,$T$9,IF(ROUNDDOWN(K195,0)=$S$9,$U$9,$T$9))</f>
        <v>　レベル　1</v>
      </c>
      <c r="L196" s="3381" t="s">
        <v>1900</v>
      </c>
      <c r="M196" s="3401"/>
      <c r="N196" s="3401"/>
      <c r="O196" s="3387"/>
    </row>
    <row r="197" spans="2:15" ht="15.75" hidden="1" customHeight="1">
      <c r="B197" s="1">
        <v>2</v>
      </c>
      <c r="C197" s="1">
        <v>2</v>
      </c>
      <c r="D197" s="908"/>
      <c r="E197" s="1059"/>
      <c r="F197" s="942" t="str">
        <f>IF(F195=$S$14,$T$10,IF(ROUNDDOWN(F195,0)=$S$10,$U$10,$T$10))</f>
        <v>　レベル　2</v>
      </c>
      <c r="G197" s="3385" t="s">
        <v>1901</v>
      </c>
      <c r="H197" s="3391"/>
      <c r="I197" s="3391"/>
      <c r="J197" s="3386"/>
      <c r="K197" s="942" t="str">
        <f>IF(K195=$S$14,$T$10,IF(ROUNDDOWN(K195,0)=$S$10,$U$10,$T$10))</f>
        <v>　レベル　2</v>
      </c>
      <c r="L197" s="3419" t="s">
        <v>1901</v>
      </c>
      <c r="M197" s="3420"/>
      <c r="N197" s="3420"/>
      <c r="O197" s="3421"/>
    </row>
    <row r="198" spans="2:15" ht="15.75" hidden="1" customHeight="1">
      <c r="B198" s="1">
        <v>3</v>
      </c>
      <c r="C198" s="1">
        <v>3</v>
      </c>
      <c r="D198" s="908"/>
      <c r="E198" s="1059"/>
      <c r="F198" s="942" t="str">
        <f>IF(F195=$S$14,$T$11,IF(ROUNDDOWN(F195,0)=$S$11,$U$11,$T$11))</f>
        <v>　レベル　3</v>
      </c>
      <c r="G198" s="3385" t="s">
        <v>1902</v>
      </c>
      <c r="H198" s="3391"/>
      <c r="I198" s="3391"/>
      <c r="J198" s="3386"/>
      <c r="K198" s="942" t="str">
        <f>IF(K195=$S$14,$T$11,IF(ROUNDDOWN(K195,0)=$S$11,$U$11,$T$11))</f>
        <v>　レベル　3</v>
      </c>
      <c r="L198" s="3419" t="s">
        <v>609</v>
      </c>
      <c r="M198" s="3420"/>
      <c r="N198" s="3420"/>
      <c r="O198" s="3421"/>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419"/>
      <c r="M199" s="3420"/>
      <c r="N199" s="3420"/>
      <c r="O199" s="3421"/>
    </row>
    <row r="200" spans="2:15" ht="15.75" hidden="1" customHeight="1">
      <c r="B200" s="1">
        <v>5</v>
      </c>
      <c r="C200" s="1">
        <v>5</v>
      </c>
      <c r="D200" s="908"/>
      <c r="E200" s="1059"/>
      <c r="F200" s="953" t="str">
        <f>IF(F195=$S$14,$T$13,IF(ROUNDDOWN(F195,0)=$S$13,$U$13,$T$13))</f>
        <v>　レベル　5</v>
      </c>
      <c r="G200" s="3426" t="s">
        <v>1903</v>
      </c>
      <c r="H200" s="3427"/>
      <c r="I200" s="3427"/>
      <c r="J200" s="3428"/>
      <c r="K200" s="953" t="str">
        <f>IF(K195=$S$14,$T$13,IF(ROUNDDOWN(K195,0)=$S$13,$U$13,$T$13))</f>
        <v>　レベル　5</v>
      </c>
      <c r="L200" s="3426" t="s">
        <v>610</v>
      </c>
      <c r="M200" s="3427"/>
      <c r="N200" s="3427"/>
      <c r="O200" s="3428"/>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1904</v>
      </c>
      <c r="G202" s="996"/>
      <c r="H202" s="1045"/>
      <c r="I202" s="1025"/>
      <c r="J202" s="999" t="str">
        <f>IF(OR(F204=0,J203=0),$R$3,"")</f>
        <v>&lt;評価しない&gt;</v>
      </c>
      <c r="K202" s="1083"/>
      <c r="L202" s="1083"/>
      <c r="M202" s="1083"/>
      <c r="N202" s="1083"/>
      <c r="O202" s="995"/>
    </row>
    <row r="203" spans="2:15" ht="15.75" hidden="1">
      <c r="D203" s="908"/>
      <c r="E203" s="1059"/>
      <c r="F203" s="923" t="s">
        <v>611</v>
      </c>
      <c r="G203" s="924"/>
      <c r="H203" s="925"/>
      <c r="I203" s="926" t="s">
        <v>1364</v>
      </c>
      <c r="J203" s="929">
        <f>重み!N27</f>
        <v>0</v>
      </c>
      <c r="K203" s="1083"/>
      <c r="L203" s="1083"/>
      <c r="M203" s="1083"/>
      <c r="N203" s="1083"/>
      <c r="O203" s="995"/>
    </row>
    <row r="204" spans="2:15" ht="16.5" hidden="1" thickBot="1">
      <c r="D204" s="908"/>
      <c r="E204" s="1059"/>
      <c r="F204" s="930">
        <v>0</v>
      </c>
      <c r="G204" s="3424" t="s">
        <v>1118</v>
      </c>
      <c r="H204" s="3425"/>
      <c r="I204" s="3425" t="s">
        <v>1905</v>
      </c>
      <c r="J204" s="3425"/>
      <c r="K204" s="1083"/>
      <c r="L204" s="1083"/>
      <c r="M204" s="1083"/>
      <c r="N204" s="1083"/>
      <c r="O204" s="995"/>
    </row>
    <row r="205" spans="2:15" ht="15.75" hidden="1" customHeight="1">
      <c r="B205" s="1">
        <v>1</v>
      </c>
      <c r="C205" s="1">
        <v>1</v>
      </c>
      <c r="D205" s="908"/>
      <c r="E205" s="1059"/>
      <c r="F205" s="937" t="str">
        <f>IF(F204=$S$14,$T$9,IF(ROUNDDOWN(F204,0)=$S$9,$U$9,$T$9))</f>
        <v>　レベル　1</v>
      </c>
      <c r="G205" s="3381" t="s">
        <v>1906</v>
      </c>
      <c r="H205" s="3387"/>
      <c r="I205" s="3381" t="s">
        <v>413</v>
      </c>
      <c r="J205" s="3399"/>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385" t="s">
        <v>1907</v>
      </c>
      <c r="H207" s="3429"/>
      <c r="I207" s="3385" t="s">
        <v>1908</v>
      </c>
      <c r="J207" s="3386"/>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383" t="s">
        <v>1909</v>
      </c>
      <c r="H209" s="3413"/>
      <c r="I209" s="3383" t="s">
        <v>1910</v>
      </c>
      <c r="J209" s="3384"/>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289</v>
      </c>
      <c r="G211" s="996"/>
      <c r="H211" s="1045"/>
      <c r="I211" s="1025"/>
      <c r="J211" s="999" t="str">
        <f>IF(OR(F213=0,J212=0),$R$3,"")</f>
        <v>&lt;評価しない&gt;</v>
      </c>
      <c r="K211" s="1084" t="s">
        <v>1911</v>
      </c>
      <c r="L211" s="996"/>
      <c r="M211" s="1045"/>
      <c r="N211" s="1025"/>
      <c r="O211" s="999" t="str">
        <f>IF(OR(K213=0,O212=0),$R$3,"")</f>
        <v>&lt;評価しない&gt;</v>
      </c>
    </row>
    <row r="212" spans="2:15" ht="15.75" hidden="1">
      <c r="D212" s="908"/>
      <c r="E212" s="1058"/>
      <c r="F212" s="923" t="s">
        <v>290</v>
      </c>
      <c r="G212" s="924"/>
      <c r="H212" s="925"/>
      <c r="I212" s="926" t="s">
        <v>1364</v>
      </c>
      <c r="J212" s="929">
        <f>重み!M28</f>
        <v>0</v>
      </c>
      <c r="K212" s="923" t="s">
        <v>2019</v>
      </c>
      <c r="L212" s="924"/>
      <c r="M212" s="925"/>
      <c r="N212" s="926" t="s">
        <v>1364</v>
      </c>
      <c r="O212" s="929">
        <f>重み!M29</f>
        <v>0</v>
      </c>
    </row>
    <row r="213" spans="2:15" ht="16.5" hidden="1" thickBot="1">
      <c r="D213" s="908"/>
      <c r="E213" s="1058"/>
      <c r="F213" s="930">
        <v>0</v>
      </c>
      <c r="G213" s="934" t="s">
        <v>1912</v>
      </c>
      <c r="H213" s="935"/>
      <c r="I213" s="935"/>
      <c r="J213" s="936"/>
      <c r="K213" s="930">
        <v>0</v>
      </c>
      <c r="L213" s="1046" t="s">
        <v>1913</v>
      </c>
      <c r="M213" s="936"/>
      <c r="N213" s="1046"/>
      <c r="O213" s="1051"/>
    </row>
    <row r="214" spans="2:15" ht="15.75" hidden="1" customHeight="1">
      <c r="B214" s="1">
        <v>1</v>
      </c>
      <c r="C214" s="1">
        <v>1</v>
      </c>
      <c r="D214" s="908"/>
      <c r="E214" s="1059"/>
      <c r="F214" s="937" t="str">
        <f>IF(F213=$S$14,$T$9,IF(ROUNDDOWN(F213,0)=$S$9,$U$9,$T$9))</f>
        <v>　レベル　1</v>
      </c>
      <c r="G214" s="3381" t="s">
        <v>1914</v>
      </c>
      <c r="H214" s="3382"/>
      <c r="I214" s="3382"/>
      <c r="J214" s="3399"/>
      <c r="K214" s="937" t="str">
        <f>IF(K213=$S$14,$T$9,IF(ROUNDDOWN(K213,0)=$S$9,$U$9,$T$9))</f>
        <v>　レベル　1</v>
      </c>
      <c r="L214" s="3381" t="s">
        <v>1915</v>
      </c>
      <c r="M214" s="3401"/>
      <c r="N214" s="3401"/>
      <c r="O214" s="3387"/>
    </row>
    <row r="215" spans="2:15" ht="15.75" hidden="1">
      <c r="B215" s="1">
        <v>2</v>
      </c>
      <c r="C215" s="1">
        <v>2</v>
      </c>
      <c r="D215" s="908"/>
      <c r="E215" s="1059"/>
      <c r="F215" s="942" t="str">
        <f>IF(F213=$S$14,$T$10,IF(ROUNDDOWN(F213,0)=$S$10,$U$10,$T$10))</f>
        <v>　レベル　2</v>
      </c>
      <c r="G215" s="3385"/>
      <c r="H215" s="3391"/>
      <c r="I215" s="3391"/>
      <c r="J215" s="3386"/>
      <c r="K215" s="942" t="str">
        <f>IF(K213=$S$14,$T$10,IF(ROUNDDOWN(K213,0)=$S$10,$U$10,$T$10))</f>
        <v>　レベル　2</v>
      </c>
      <c r="L215" s="3419"/>
      <c r="M215" s="3420"/>
      <c r="N215" s="3420"/>
      <c r="O215" s="3421"/>
    </row>
    <row r="216" spans="2:15" ht="15.75" hidden="1" customHeight="1">
      <c r="B216" s="1">
        <v>3</v>
      </c>
      <c r="C216" s="1">
        <v>3</v>
      </c>
      <c r="D216" s="908"/>
      <c r="E216" s="1059"/>
      <c r="F216" s="942" t="str">
        <f>IF(F213=$S$14,$T$11,IF(ROUNDDOWN(F213,0)=$S$11,$U$11,$T$11))</f>
        <v>　レベル　3</v>
      </c>
      <c r="G216" s="3385" t="s">
        <v>443</v>
      </c>
      <c r="H216" s="3391"/>
      <c r="I216" s="3391"/>
      <c r="J216" s="3386"/>
      <c r="K216" s="942" t="str">
        <f>IF(K213=$S$14,$T$11,IF(ROUNDDOWN(K213,0)=$S$11,$U$11,$T$11))</f>
        <v>　レベル　3</v>
      </c>
      <c r="L216" s="3419" t="s">
        <v>291</v>
      </c>
      <c r="M216" s="3420"/>
      <c r="N216" s="3420"/>
      <c r="O216" s="3421"/>
    </row>
    <row r="217" spans="2:15" ht="15.75" hidden="1">
      <c r="B217" s="1">
        <v>4</v>
      </c>
      <c r="C217" s="1">
        <v>4</v>
      </c>
      <c r="D217" s="908"/>
      <c r="E217" s="1059"/>
      <c r="F217" s="942" t="str">
        <f>IF(F213=$S$14,$T$12,IF(ROUNDDOWN(F213,0)=$S$12,$U$12,$T$12))</f>
        <v>　レベル　4</v>
      </c>
      <c r="G217" s="3385"/>
      <c r="H217" s="3391"/>
      <c r="I217" s="3391"/>
      <c r="J217" s="3386"/>
      <c r="K217" s="942" t="str">
        <f>IF(K213=$S$14,$T$12,IF(ROUNDDOWN(K213,0)=$S$12,$U$12,$T$12))</f>
        <v>　レベル　4</v>
      </c>
      <c r="L217" s="3419"/>
      <c r="M217" s="3420"/>
      <c r="N217" s="3420"/>
      <c r="O217" s="3421"/>
    </row>
    <row r="218" spans="2:15" ht="18" hidden="1" customHeight="1">
      <c r="B218" s="1">
        <v>5</v>
      </c>
      <c r="C218" s="1">
        <v>5</v>
      </c>
      <c r="D218" s="908"/>
      <c r="E218" s="1059"/>
      <c r="F218" s="953" t="str">
        <f>IF(F213=$S$14,$T$13,IF(ROUNDDOWN(F213,0)=$S$13,$U$13,$T$13))</f>
        <v>　レベル　5</v>
      </c>
      <c r="G218" s="3383" t="s">
        <v>444</v>
      </c>
      <c r="H218" s="3390"/>
      <c r="I218" s="3390"/>
      <c r="J218" s="3384"/>
      <c r="K218" s="953" t="str">
        <f>IF(K213=$S$14,$T$13,IF(ROUNDDOWN(K213,0)=$S$13,$U$13,$T$13))</f>
        <v>　レベル　5</v>
      </c>
      <c r="L218" s="3410" t="s">
        <v>1646</v>
      </c>
      <c r="M218" s="3430"/>
      <c r="N218" s="3430"/>
      <c r="O218" s="3431"/>
    </row>
    <row r="219" spans="2:15" ht="15.75">
      <c r="B219" s="960">
        <v>0</v>
      </c>
      <c r="C219" s="960">
        <v>0</v>
      </c>
      <c r="D219" s="908"/>
      <c r="E219" s="909"/>
      <c r="F219" s="909"/>
      <c r="G219" s="995"/>
      <c r="H219" s="995"/>
      <c r="I219" s="995"/>
      <c r="J219" s="995"/>
      <c r="K219" s="995"/>
      <c r="L219" s="995"/>
      <c r="M219" s="995"/>
      <c r="N219" s="995"/>
      <c r="O219" s="995"/>
    </row>
    <row r="220" spans="2:15" ht="15.75">
      <c r="D220" s="1326">
        <v>2.2000000000000002</v>
      </c>
      <c r="E220" s="915" t="s">
        <v>445</v>
      </c>
      <c r="F220" s="919"/>
      <c r="G220" s="996"/>
      <c r="H220" s="1045"/>
      <c r="I220" s="1025"/>
      <c r="J220" s="999" t="str">
        <f>IF(OR(F222=0,AND(J221=0,O221=0)),$R$3,"")</f>
        <v/>
      </c>
      <c r="K220" s="1084"/>
      <c r="L220" s="996"/>
      <c r="M220" s="1045"/>
      <c r="N220" s="1025"/>
      <c r="O220" s="999"/>
    </row>
    <row r="221" spans="2:15" ht="16.5" thickBot="1">
      <c r="D221" s="1106"/>
      <c r="E221" s="915"/>
      <c r="F221" s="923" t="s">
        <v>1647</v>
      </c>
      <c r="G221" s="924"/>
      <c r="H221" s="925"/>
      <c r="I221" s="926" t="s">
        <v>1364</v>
      </c>
      <c r="J221" s="929">
        <f>重み!M30</f>
        <v>0.2</v>
      </c>
      <c r="K221" s="923" t="s">
        <v>1968</v>
      </c>
      <c r="L221" s="924"/>
      <c r="M221" s="925"/>
      <c r="N221" s="926" t="s">
        <v>1364</v>
      </c>
      <c r="O221" s="929">
        <f>重み!N30</f>
        <v>0</v>
      </c>
    </row>
    <row r="222" spans="2:15" ht="27" customHeight="1" thickBot="1">
      <c r="D222" s="1106"/>
      <c r="E222" s="915"/>
      <c r="F222" s="930">
        <v>3</v>
      </c>
      <c r="G222" s="1046" t="s">
        <v>446</v>
      </c>
      <c r="H222" s="935"/>
      <c r="I222" s="1072" t="s">
        <v>447</v>
      </c>
      <c r="J222" s="936" t="s">
        <v>1365</v>
      </c>
      <c r="K222" s="930">
        <v>3</v>
      </c>
      <c r="L222" s="1046" t="s">
        <v>2661</v>
      </c>
      <c r="M222" s="936"/>
      <c r="N222" s="1046" t="s">
        <v>1648</v>
      </c>
      <c r="O222" s="1051"/>
    </row>
    <row r="223" spans="2:15" ht="15.75" hidden="1">
      <c r="B223" s="1">
        <v>1</v>
      </c>
      <c r="C223" s="1">
        <v>1</v>
      </c>
      <c r="D223" s="1106"/>
      <c r="E223" s="915"/>
      <c r="F223" s="1047"/>
      <c r="G223" s="1046" t="s">
        <v>1266</v>
      </c>
      <c r="H223" s="936"/>
      <c r="I223" s="935"/>
      <c r="J223" s="936"/>
      <c r="K223" s="1047"/>
      <c r="L223" s="1046" t="s">
        <v>1266</v>
      </c>
      <c r="M223" s="936"/>
      <c r="N223" s="1046"/>
      <c r="O223" s="936"/>
    </row>
    <row r="224" spans="2:15" ht="15.75" hidden="1">
      <c r="B224" s="1">
        <v>2</v>
      </c>
      <c r="C224" s="1">
        <v>2</v>
      </c>
      <c r="D224" s="1106"/>
      <c r="E224" s="915"/>
      <c r="F224" s="942" t="str">
        <f>IF(F222=$S$14,$T$9,IF(AND($O$3=$U$3,ROUNDDOWN(F222,0)=$S$9),$U$9,$T$9))</f>
        <v>　レベル　1</v>
      </c>
      <c r="G224" s="3381" t="s">
        <v>1649</v>
      </c>
      <c r="H224" s="3399"/>
      <c r="I224" s="1107" t="s">
        <v>1649</v>
      </c>
      <c r="J224" s="1107" t="s">
        <v>1649</v>
      </c>
      <c r="K224" s="942" t="str">
        <f>IF(K222=$S$14,$T$9,IF(AND($O$3=$U$3,ROUNDDOWN(K222,0)=$S$9),$U$9,$T$9))</f>
        <v>　レベル　1</v>
      </c>
      <c r="L224" s="3381" t="s">
        <v>1649</v>
      </c>
      <c r="M224" s="3399"/>
      <c r="N224" s="3381" t="s">
        <v>448</v>
      </c>
      <c r="O224" s="3399"/>
    </row>
    <row r="225" spans="2:15" ht="15.75" hidden="1" customHeight="1">
      <c r="B225" s="1">
        <v>3</v>
      </c>
      <c r="C225" s="1">
        <v>3</v>
      </c>
      <c r="D225" s="1106"/>
      <c r="E225" s="915"/>
      <c r="F225" s="942" t="str">
        <f>IF(F222=$S$14,$T$10,IF(AND($O$3=$U$3,ROUNDDOWN(F222,0)=$S$10),$U$10,$T$10))</f>
        <v>　レベル　2</v>
      </c>
      <c r="G225" s="3385"/>
      <c r="H225" s="3386"/>
      <c r="I225" s="950"/>
      <c r="J225" s="950"/>
      <c r="K225" s="942" t="str">
        <f>IF(K222=$S$14,$T$10,IF(AND($O$3=$U$3,ROUNDDOWN(K222,0)=$S$10),$U$10,$T$10))</f>
        <v>　レベル　2</v>
      </c>
      <c r="L225" s="3385"/>
      <c r="M225" s="3386"/>
      <c r="N225" s="3385" t="s">
        <v>2178</v>
      </c>
      <c r="O225" s="3386"/>
    </row>
    <row r="226" spans="2:15" ht="77.25" hidden="1" customHeight="1">
      <c r="B226" s="1">
        <v>4</v>
      </c>
      <c r="C226" s="1">
        <v>4</v>
      </c>
      <c r="D226" s="1106"/>
      <c r="E226" s="915"/>
      <c r="F226" s="942" t="str">
        <f>IF(F222=$S$14,$T$11,IF(AND($O$3=$U$3,ROUNDDOWN(F222,0)=$S$11),$U$11,$T$11))</f>
        <v>　レベル　3</v>
      </c>
      <c r="G226" s="3385" t="s">
        <v>1650</v>
      </c>
      <c r="H226" s="3386"/>
      <c r="I226" s="950" t="s">
        <v>1651</v>
      </c>
      <c r="J226" s="950" t="s">
        <v>300</v>
      </c>
      <c r="K226" s="942" t="str">
        <f>IF(K222=$S$14,$T$11,IF(AND($O$3=$U$3,ROUNDDOWN(K222,0)=$S$11),$U$11,$T$11))</f>
        <v>　レベル　3</v>
      </c>
      <c r="L226" s="3385" t="s">
        <v>1650</v>
      </c>
      <c r="M226" s="3386"/>
      <c r="N226" s="3385" t="s">
        <v>449</v>
      </c>
      <c r="O226" s="3386"/>
    </row>
    <row r="227" spans="2:15" ht="50.25" hidden="1" customHeight="1">
      <c r="B227" s="1">
        <v>5</v>
      </c>
      <c r="C227" s="1">
        <v>5</v>
      </c>
      <c r="D227" s="1106"/>
      <c r="E227" s="915"/>
      <c r="F227" s="942" t="str">
        <f>IF(F222=$S$14,$T$12,IF(AND($O$3=$U$3,ROUNDDOWN(F222,0)=$S$12),$U$12,$T$12))</f>
        <v>　レベル　4</v>
      </c>
      <c r="G227" s="3385"/>
      <c r="H227" s="3386"/>
      <c r="I227" s="950"/>
      <c r="J227" s="950"/>
      <c r="K227" s="942" t="str">
        <f>IF(K222=$S$14,$T$12,IF(AND($O$3=$U$3,ROUNDDOWN(K222,0)=$S$12),$U$12,$T$12))</f>
        <v>　レベル　4</v>
      </c>
      <c r="L227" s="3385"/>
      <c r="M227" s="3386"/>
      <c r="N227" s="3385" t="s">
        <v>450</v>
      </c>
      <c r="O227" s="3386"/>
    </row>
    <row r="228" spans="2:15" ht="73.5" hidden="1" customHeight="1">
      <c r="B228" s="960">
        <v>0</v>
      </c>
      <c r="C228" s="960">
        <v>0</v>
      </c>
      <c r="D228" s="1106"/>
      <c r="E228" s="915"/>
      <c r="F228" s="953" t="str">
        <f>IF(F222=$S$14,$T$13,IF(AND($O$3=$U$3,ROUNDDOWN(F222,0)=$S$13),$U$13,$T$13))</f>
        <v>　レベル　5</v>
      </c>
      <c r="G228" s="3383" t="s">
        <v>301</v>
      </c>
      <c r="H228" s="3384"/>
      <c r="I228" s="954" t="s">
        <v>302</v>
      </c>
      <c r="J228" s="954" t="s">
        <v>302</v>
      </c>
      <c r="K228" s="953" t="str">
        <f>IF(K222=$S$14,$T$13,IF(AND($O$3=$U$3,ROUNDDOWN(K222,0)=$S$13),$U$13,$T$13))</f>
        <v>　レベル　5</v>
      </c>
      <c r="L228" s="3383" t="s">
        <v>301</v>
      </c>
      <c r="M228" s="3384"/>
      <c r="N228" s="3383" t="s">
        <v>303</v>
      </c>
      <c r="O228" s="3384"/>
    </row>
    <row r="229" spans="2:15" ht="15.75" hidden="1">
      <c r="D229" s="908"/>
      <c r="E229" s="909"/>
      <c r="F229" s="1048"/>
      <c r="G229" s="1067" t="s">
        <v>1265</v>
      </c>
      <c r="H229" s="1067"/>
      <c r="I229" s="1067"/>
      <c r="J229" s="1087"/>
      <c r="K229" s="1048"/>
      <c r="L229" s="1067" t="s">
        <v>1265</v>
      </c>
      <c r="M229" s="1067"/>
      <c r="N229" s="1067"/>
      <c r="O229" s="1087"/>
    </row>
    <row r="230" spans="2:15" ht="21" customHeight="1">
      <c r="D230" s="908"/>
      <c r="E230" s="909"/>
      <c r="F230" s="1049" t="str">
        <f>IF(F222=$S$14,$T$9,IF(AND($O$3&lt;&gt;$U$3,ROUNDDOWN(F222,0)=$S$9),$U$9,$T$9))</f>
        <v>　レベル　1</v>
      </c>
      <c r="G230" s="3381" t="s">
        <v>304</v>
      </c>
      <c r="H230" s="3432"/>
      <c r="I230" s="1107" t="s">
        <v>304</v>
      </c>
      <c r="J230" s="1107" t="s">
        <v>304</v>
      </c>
      <c r="K230" s="1049" t="str">
        <f>IF(K222=$S$14,$T$9,IF(AND($O$3&lt;&gt;$U$3,ROUNDDOWN(K222,0)=$S$9),$U$9,$T$9))</f>
        <v>　レベル　1</v>
      </c>
      <c r="L230" s="3381" t="s">
        <v>304</v>
      </c>
      <c r="M230" s="3387"/>
      <c r="N230" s="3381" t="s">
        <v>305</v>
      </c>
      <c r="O230" s="3399"/>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419" t="s">
        <v>2178</v>
      </c>
      <c r="O231" s="3421"/>
    </row>
    <row r="232" spans="2:15" ht="97.5" customHeight="1">
      <c r="D232" s="908"/>
      <c r="E232" s="909"/>
      <c r="F232" s="942" t="str">
        <f>IF(F222=$S$14,$T$11,IF(AND($O$3&lt;&gt;$U$3,ROUNDDOWN(F222,0)=$S$11),$U$11,$T$11))</f>
        <v>■レベル　3</v>
      </c>
      <c r="G232" s="3385" t="s">
        <v>306</v>
      </c>
      <c r="H232" s="3433"/>
      <c r="I232" s="950" t="s">
        <v>307</v>
      </c>
      <c r="J232" s="950" t="s">
        <v>308</v>
      </c>
      <c r="K232" s="942" t="str">
        <f>IF(K222=$S$14,$T$11,IF(AND($O$3&lt;&gt;$U$3,ROUNDDOWN(K222,0)=$S$11),$U$11,$T$11))</f>
        <v>■レベル　3</v>
      </c>
      <c r="L232" s="3385" t="s">
        <v>309</v>
      </c>
      <c r="M232" s="3429"/>
      <c r="N232" s="3385" t="s">
        <v>663</v>
      </c>
      <c r="O232" s="3386"/>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385" t="s">
        <v>664</v>
      </c>
      <c r="O233" s="3386"/>
    </row>
    <row r="234" spans="2:15" ht="103.5" customHeight="1">
      <c r="D234" s="908"/>
      <c r="E234" s="909"/>
      <c r="F234" s="953" t="str">
        <f>IF(F222=$S$14,$T$13,IF(AND($O$3&lt;&gt;$U$3,ROUNDDOWN(F222,0)=$S$13),$U$13,$T$13))</f>
        <v>　レベル　5</v>
      </c>
      <c r="G234" s="3383" t="s">
        <v>665</v>
      </c>
      <c r="H234" s="3434"/>
      <c r="I234" s="954" t="s">
        <v>665</v>
      </c>
      <c r="J234" s="954" t="s">
        <v>2494</v>
      </c>
      <c r="K234" s="953" t="str">
        <f>IF(K222=$S$14,$T$13,IF(AND($O$3&lt;&gt;$U$3,ROUNDDOWN(K222,0)=$S$13),$U$13,$T$13))</f>
        <v>　レベル　5</v>
      </c>
      <c r="L234" s="3383" t="s">
        <v>665</v>
      </c>
      <c r="M234" s="3413"/>
      <c r="N234" s="3383" t="s">
        <v>131</v>
      </c>
      <c r="O234" s="3384"/>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6">
        <v>2.2999999999999998</v>
      </c>
      <c r="E237" s="915" t="s">
        <v>273</v>
      </c>
      <c r="F237" s="919"/>
      <c r="G237" s="996"/>
      <c r="H237" s="1045"/>
      <c r="I237" s="1025"/>
      <c r="J237" s="999" t="str">
        <f>IF(OR(F239=0,AND(J238=0,O238=0)),$R$3,"")</f>
        <v/>
      </c>
      <c r="K237" s="1084"/>
      <c r="L237" s="996"/>
      <c r="M237" s="1045"/>
      <c r="N237" s="1025"/>
      <c r="O237" s="999"/>
    </row>
    <row r="238" spans="2:15" ht="16.5" thickBot="1">
      <c r="D238" s="1106"/>
      <c r="E238" s="915"/>
      <c r="F238" s="923" t="s">
        <v>487</v>
      </c>
      <c r="G238" s="924"/>
      <c r="H238" s="925"/>
      <c r="I238" s="926" t="s">
        <v>1364</v>
      </c>
      <c r="J238" s="929">
        <f>重み!M31</f>
        <v>0.3</v>
      </c>
      <c r="K238" s="923" t="s">
        <v>1968</v>
      </c>
      <c r="L238" s="924"/>
      <c r="M238" s="925"/>
      <c r="N238" s="926" t="s">
        <v>1364</v>
      </c>
      <c r="O238" s="929">
        <f>重み!N31</f>
        <v>0</v>
      </c>
    </row>
    <row r="239" spans="2:15" ht="27" customHeight="1" thickBot="1">
      <c r="D239" s="1106"/>
      <c r="E239" s="915"/>
      <c r="F239" s="930">
        <v>3</v>
      </c>
      <c r="G239" s="3435" t="s">
        <v>2495</v>
      </c>
      <c r="H239" s="3424"/>
      <c r="I239" s="1072" t="s">
        <v>2439</v>
      </c>
      <c r="J239" s="936"/>
      <c r="K239" s="930">
        <v>3</v>
      </c>
      <c r="L239" s="1046" t="s">
        <v>2661</v>
      </c>
      <c r="M239" s="936"/>
      <c r="N239" s="1046" t="s">
        <v>1180</v>
      </c>
      <c r="O239" s="1051"/>
    </row>
    <row r="240" spans="2:15" ht="15.75" hidden="1">
      <c r="B240" s="1">
        <v>1</v>
      </c>
      <c r="C240" s="1">
        <v>1</v>
      </c>
      <c r="D240" s="1106"/>
      <c r="E240" s="915"/>
      <c r="F240" s="1085"/>
      <c r="G240" s="1046" t="s">
        <v>1266</v>
      </c>
      <c r="H240" s="935"/>
      <c r="I240" s="1046"/>
      <c r="J240" s="936"/>
      <c r="K240" s="1085"/>
      <c r="L240" s="935" t="s">
        <v>1266</v>
      </c>
      <c r="M240" s="1052"/>
      <c r="N240" s="1052"/>
      <c r="O240" s="1053"/>
    </row>
    <row r="241" spans="2:15" ht="65.25" customHeight="1">
      <c r="B241" s="1">
        <v>2</v>
      </c>
      <c r="C241" s="1">
        <v>2</v>
      </c>
      <c r="D241" s="1106"/>
      <c r="E241" s="915"/>
      <c r="F241" s="942" t="str">
        <f>IF(F239=$S$14,$T$9,IF(AND($O$3=$U$3,ROUNDDOWN(F239,0)=$S$9),$U$9,$T$9))</f>
        <v>　レベル　1</v>
      </c>
      <c r="G241" s="3381" t="s">
        <v>2030</v>
      </c>
      <c r="H241" s="3387"/>
      <c r="I241" s="3381" t="s">
        <v>2030</v>
      </c>
      <c r="J241" s="3399"/>
      <c r="K241" s="942" t="str">
        <f>IF(K239=$S$14,$T$9,IF(AND($O$3=$U$3,ROUNDDOWN(K239,0)=$S$9),$U$9,$T$9))</f>
        <v>　レベル　1</v>
      </c>
      <c r="L241" s="3381" t="s">
        <v>2030</v>
      </c>
      <c r="M241" s="3387"/>
      <c r="N241" s="3381" t="s">
        <v>2440</v>
      </c>
      <c r="O241" s="3399"/>
    </row>
    <row r="242" spans="2:15" ht="15.75">
      <c r="B242" s="1">
        <v>3</v>
      </c>
      <c r="C242" s="1">
        <v>3</v>
      </c>
      <c r="D242" s="1106"/>
      <c r="E242" s="915"/>
      <c r="F242" s="942" t="str">
        <f>IF(F239=$S$14,$T$10,IF(AND($O$3=$U$3,ROUNDDOWN(F239,0)=$S$10),$U$10,$T$10))</f>
        <v>　レベル　2</v>
      </c>
      <c r="G242" s="950"/>
      <c r="H242" s="1086"/>
      <c r="I242" s="3385"/>
      <c r="J242" s="3386"/>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385" t="s">
        <v>2031</v>
      </c>
      <c r="H243" s="3386"/>
      <c r="I243" s="3385" t="s">
        <v>2032</v>
      </c>
      <c r="J243" s="3386"/>
      <c r="K243" s="942" t="str">
        <f>IF(K239=$S$14,$T$11,IF(AND($O$3=$U$3,ROUNDDOWN(K239,0)=$S$11),$U$11,$T$11))</f>
        <v>　レベル　3</v>
      </c>
      <c r="L243" s="3385" t="s">
        <v>2031</v>
      </c>
      <c r="M243" s="3429"/>
      <c r="N243" s="3385" t="s">
        <v>2441</v>
      </c>
      <c r="O243" s="3386"/>
    </row>
    <row r="244" spans="2:15" ht="15.75">
      <c r="B244" s="1">
        <v>5</v>
      </c>
      <c r="C244" s="1">
        <v>5</v>
      </c>
      <c r="D244" s="1106"/>
      <c r="E244" s="915"/>
      <c r="F244" s="942" t="str">
        <f>IF(F239=$S$14,$T$12,IF(AND($O$3=$U$3,ROUNDDOWN(F239,0)=$S$12),$U$12,$T$12))</f>
        <v>　レベル　4</v>
      </c>
      <c r="G244" s="950"/>
      <c r="H244" s="1086"/>
      <c r="I244" s="3385"/>
      <c r="J244" s="3386"/>
      <c r="K244" s="942" t="str">
        <f>IF(K239=$S$14,$T$12,IF(AND($O$3=$U$3,ROUNDDOWN(K239,0)=$S$12),$U$12,$T$12))</f>
        <v>　レベル　4</v>
      </c>
      <c r="L244" s="950"/>
      <c r="M244" s="952"/>
      <c r="N244" s="3385"/>
      <c r="O244" s="3386"/>
    </row>
    <row r="245" spans="2:15" ht="65.25" customHeight="1">
      <c r="B245" s="960">
        <v>0</v>
      </c>
      <c r="C245" s="960">
        <v>0</v>
      </c>
      <c r="D245" s="1106"/>
      <c r="E245" s="915"/>
      <c r="F245" s="953" t="str">
        <f>IF(F239=$S$14,$T$13,IF(AND($O$3=$U$3,ROUNDDOWN(F239,0)=$S$13),$U$13,$T$13))</f>
        <v>　レベル　5</v>
      </c>
      <c r="G245" s="3383" t="s">
        <v>2033</v>
      </c>
      <c r="H245" s="3384"/>
      <c r="I245" s="3383" t="s">
        <v>2034</v>
      </c>
      <c r="J245" s="3384"/>
      <c r="K245" s="953" t="str">
        <f>IF(K239=$S$14,$T$13,IF(AND($O$3=$U$3,ROUNDDOWN(K239,0)=$S$13),$U$13,$T$13))</f>
        <v>　レベル　5</v>
      </c>
      <c r="L245" s="3383" t="s">
        <v>2033</v>
      </c>
      <c r="M245" s="3413"/>
      <c r="N245" s="3383" t="s">
        <v>2035</v>
      </c>
      <c r="O245" s="3384"/>
    </row>
    <row r="246" spans="2:15" ht="15.75" hidden="1">
      <c r="D246" s="1106"/>
      <c r="E246" s="915"/>
      <c r="F246" s="1108"/>
      <c r="G246" s="1091" t="s">
        <v>1265</v>
      </c>
      <c r="H246" s="1067"/>
      <c r="I246" s="1067"/>
      <c r="J246" s="1087"/>
      <c r="K246" s="1048"/>
      <c r="L246" s="1067" t="s">
        <v>1265</v>
      </c>
      <c r="M246" s="1067"/>
      <c r="N246" s="1067"/>
      <c r="O246" s="1087"/>
    </row>
    <row r="247" spans="2:15" ht="15.75" hidden="1">
      <c r="D247" s="1106"/>
      <c r="E247" s="915"/>
      <c r="F247" s="1049" t="str">
        <f>IF(F239=$S$14,$T$9,IF(AND($O$3&lt;&gt;$U$3,ROUNDDOWN(F239,0)=$S$9),$U$9,$T$9))</f>
        <v>　レベル　1</v>
      </c>
      <c r="G247" s="3439" t="s">
        <v>2036</v>
      </c>
      <c r="H247" s="3440"/>
      <c r="I247" s="3439" t="s">
        <v>2036</v>
      </c>
      <c r="J247" s="3441"/>
      <c r="K247" s="2869" t="str">
        <f>IF(K239=$S$14,$T$9,IF(AND($O$3&lt;&gt;$U$3,ROUNDDOWN(K239,0)=$S$9),$U$9,$T$9))</f>
        <v>　レベル　1</v>
      </c>
      <c r="L247" s="3439" t="s">
        <v>2036</v>
      </c>
      <c r="M247" s="3441"/>
      <c r="N247" s="3439" t="s">
        <v>2037</v>
      </c>
      <c r="O247" s="3440"/>
    </row>
    <row r="248" spans="2:15" ht="15.75" hidden="1">
      <c r="D248" s="1106"/>
      <c r="E248" s="915"/>
      <c r="F248" s="942" t="str">
        <f>IF(F239=$S$14,$T$10,IF(AND($O$3&lt;&gt;$U$3,ROUNDDOWN(F239,0)=$S$10),$U$10,$T$10))</f>
        <v>　レベル　2</v>
      </c>
      <c r="G248" s="2870"/>
      <c r="H248" s="2871"/>
      <c r="I248" s="2870"/>
      <c r="J248" s="2872"/>
      <c r="K248" s="2873" t="str">
        <f>IF(K239=$S$14,$T$10,IF(AND($O$3&lt;&gt;$U$3,ROUNDDOWN(K239,0)=$S$10),$U$10,$T$10))</f>
        <v>　レベル　2</v>
      </c>
      <c r="L248" s="2870"/>
      <c r="M248" s="2872"/>
      <c r="N248" s="2870"/>
      <c r="O248" s="2872"/>
    </row>
    <row r="249" spans="2:15" ht="15.75" hidden="1">
      <c r="D249" s="1106"/>
      <c r="E249" s="915"/>
      <c r="F249" s="942" t="str">
        <f>IF(F239=$S$14,$T$11,IF(AND($O$3&lt;&gt;$U$3,ROUNDDOWN(F239,0)=$S$11),$U$11,$T$11))</f>
        <v>■レベル　3</v>
      </c>
      <c r="G249" s="3436" t="s">
        <v>806</v>
      </c>
      <c r="H249" s="3437"/>
      <c r="I249" s="3436" t="s">
        <v>807</v>
      </c>
      <c r="J249" s="3438"/>
      <c r="K249" s="2873" t="str">
        <f>IF(K239=$S$14,$T$11,IF(AND($O$3&lt;&gt;$U$3,ROUNDDOWN(K239,0)=$S$11),$U$11,$T$11))</f>
        <v>■レベル　3</v>
      </c>
      <c r="L249" s="3436" t="s">
        <v>806</v>
      </c>
      <c r="M249" s="3438"/>
      <c r="N249" s="3436" t="s">
        <v>1594</v>
      </c>
      <c r="O249" s="3437"/>
    </row>
    <row r="250" spans="2:15" ht="15.75" hidden="1">
      <c r="D250" s="1106"/>
      <c r="E250" s="915"/>
      <c r="F250" s="942" t="str">
        <f>IF(F239=$S$14,$T$12,IF(AND($O$3&lt;&gt;$U$3,ROUNDDOWN(F239,0)=$S$12),$U$12,$T$12))</f>
        <v>　レベル　4</v>
      </c>
      <c r="G250" s="2870"/>
      <c r="H250" s="2871"/>
      <c r="I250" s="2870"/>
      <c r="J250" s="2872"/>
      <c r="K250" s="2873" t="str">
        <f>IF(K239=$S$14,$T$12,IF(AND($O$3&lt;&gt;$U$3,ROUNDDOWN(K239,0)=$S$12),$U$12,$T$12))</f>
        <v>　レベル　4</v>
      </c>
      <c r="L250" s="2870"/>
      <c r="M250" s="2872"/>
      <c r="N250" s="3436"/>
      <c r="O250" s="3437"/>
    </row>
    <row r="251" spans="2:15" ht="15.75" hidden="1">
      <c r="D251" s="1106"/>
      <c r="E251" s="915"/>
      <c r="F251" s="953" t="str">
        <f>IF(F239=$S$14,$T$13,IF(AND($O$3&lt;&gt;$U$3,ROUNDDOWN(F239,0)=$S$13),$U$13,$T$13))</f>
        <v>　レベル　5</v>
      </c>
      <c r="G251" s="3442" t="s">
        <v>1595</v>
      </c>
      <c r="H251" s="3443"/>
      <c r="I251" s="3442" t="s">
        <v>2442</v>
      </c>
      <c r="J251" s="3444"/>
      <c r="K251" s="2874" t="str">
        <f>IF(K239=$S$14,$T$13,IF(AND($O$3&lt;&gt;$U$3,ROUNDDOWN(K239,0)=$S$13),$U$13,$T$13))</f>
        <v>　レベル　5</v>
      </c>
      <c r="L251" s="3442" t="s">
        <v>1596</v>
      </c>
      <c r="M251" s="3444"/>
      <c r="N251" s="3442" t="s">
        <v>1597</v>
      </c>
      <c r="O251" s="3443"/>
    </row>
    <row r="252" spans="2:15" ht="15.75" hidden="1">
      <c r="D252" s="908"/>
      <c r="E252" s="1059"/>
      <c r="F252" s="1059"/>
      <c r="G252" s="1109" t="s">
        <v>1598</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2443</v>
      </c>
      <c r="G254" s="996"/>
      <c r="H254" s="1045"/>
      <c r="I254" s="1025"/>
      <c r="J254" s="999" t="str">
        <f>IF(OR(F256=0,J255=0),$R$3,"")</f>
        <v>&lt;評価しない&gt;</v>
      </c>
      <c r="K254" s="1084" t="s">
        <v>2444</v>
      </c>
      <c r="L254" s="996"/>
      <c r="M254" s="1045"/>
      <c r="N254" s="1025"/>
      <c r="O254" s="999" t="str">
        <f>IF(OR(K256=0,O255=0),$R$3,"")</f>
        <v>&lt;評価しない&gt;</v>
      </c>
    </row>
    <row r="255" spans="2:15" ht="16.5" hidden="1" thickBot="1">
      <c r="D255" s="908"/>
      <c r="E255" s="1059"/>
      <c r="F255" s="923" t="s">
        <v>1599</v>
      </c>
      <c r="G255" s="924"/>
      <c r="H255" s="925"/>
      <c r="I255" s="926" t="s">
        <v>1364</v>
      </c>
      <c r="J255" s="929">
        <f>重み!M33</f>
        <v>0</v>
      </c>
      <c r="K255" s="923" t="s">
        <v>2019</v>
      </c>
      <c r="L255" s="924"/>
      <c r="M255" s="925"/>
      <c r="N255" s="926" t="s">
        <v>1364</v>
      </c>
      <c r="O255" s="929">
        <f>重み!M34</f>
        <v>0</v>
      </c>
    </row>
    <row r="256" spans="2:15" ht="16.5" hidden="1" thickBot="1">
      <c r="D256" s="908"/>
      <c r="E256" s="1059"/>
      <c r="F256" s="930">
        <v>0</v>
      </c>
      <c r="G256" s="934" t="s">
        <v>2445</v>
      </c>
      <c r="H256" s="935"/>
      <c r="I256" s="935"/>
      <c r="J256" s="1072"/>
      <c r="K256" s="930">
        <v>0</v>
      </c>
      <c r="L256" s="934" t="s">
        <v>2445</v>
      </c>
      <c r="M256" s="935"/>
      <c r="N256" s="935"/>
      <c r="O256" s="1072"/>
    </row>
    <row r="257" spans="2:15" ht="15.75" hidden="1">
      <c r="B257" s="1">
        <v>1</v>
      </c>
      <c r="C257" s="1">
        <v>1</v>
      </c>
      <c r="D257" s="908"/>
      <c r="E257" s="1059"/>
      <c r="F257" s="937" t="str">
        <f>IF(F256=$S$14,$T$9,IF(ROUNDDOWN(F256,0)=$S$9,$U$9,$T$9))</f>
        <v>　レベル　1</v>
      </c>
      <c r="G257" s="3381" t="s">
        <v>1600</v>
      </c>
      <c r="H257" s="3401"/>
      <c r="I257" s="3401"/>
      <c r="J257" s="3387"/>
      <c r="K257" s="937" t="str">
        <f>IF(K256=$S$14,$T$9,IF(ROUNDDOWN(K256,0)=$S$9,$U$9,$T$9))</f>
        <v>　レベル　1</v>
      </c>
      <c r="L257" s="3381" t="s">
        <v>2446</v>
      </c>
      <c r="M257" s="3401"/>
      <c r="N257" s="3401"/>
      <c r="O257" s="3387"/>
    </row>
    <row r="258" spans="2:15" ht="15.75" hidden="1">
      <c r="B258" s="1">
        <v>2</v>
      </c>
      <c r="C258" s="1">
        <v>2</v>
      </c>
      <c r="D258" s="908"/>
      <c r="E258" s="1059"/>
      <c r="F258" s="942" t="str">
        <f>IF(F256=$S$14,$T$10,IF(ROUNDDOWN(F256,0)=$S$10,$U$10,$T$10))</f>
        <v>　レベル　2</v>
      </c>
      <c r="G258" s="3385"/>
      <c r="H258" s="3391"/>
      <c r="I258" s="3391"/>
      <c r="J258" s="3386"/>
      <c r="K258" s="942" t="str">
        <f>IF(K256=$S$14,$T$10,IF(ROUNDDOWN(K256,0)=$S$10,$U$10,$T$10))</f>
        <v>　レベル　2</v>
      </c>
      <c r="L258" s="3385" t="s">
        <v>2447</v>
      </c>
      <c r="M258" s="3391"/>
      <c r="N258" s="3391"/>
      <c r="O258" s="3386"/>
    </row>
    <row r="259" spans="2:15" ht="15.75" hidden="1">
      <c r="B259" s="1">
        <v>3</v>
      </c>
      <c r="C259" s="1">
        <v>3</v>
      </c>
      <c r="D259" s="908"/>
      <c r="E259" s="1059"/>
      <c r="F259" s="942" t="str">
        <f>IF(F256=$S$14,$T$11,IF(ROUNDDOWN(F256,0)=$S$11,$U$11,$T$11))</f>
        <v>　レベル　3</v>
      </c>
      <c r="G259" s="3385" t="s">
        <v>1601</v>
      </c>
      <c r="H259" s="3391"/>
      <c r="I259" s="3391"/>
      <c r="J259" s="3386"/>
      <c r="K259" s="942" t="str">
        <f>IF(K256=$S$14,$T$11,IF(ROUNDDOWN(K256,0)=$S$11,$U$11,$T$11))</f>
        <v>　レベル　3</v>
      </c>
      <c r="L259" s="3385" t="s">
        <v>2448</v>
      </c>
      <c r="M259" s="3391"/>
      <c r="N259" s="3391"/>
      <c r="O259" s="3386"/>
    </row>
    <row r="260" spans="2:15" ht="15.75" hidden="1">
      <c r="B260" s="1">
        <v>4</v>
      </c>
      <c r="C260" s="1">
        <v>4</v>
      </c>
      <c r="D260" s="908"/>
      <c r="E260" s="1059"/>
      <c r="F260" s="942" t="str">
        <f>IF(F256=$S$14,$T$12,IF(ROUNDDOWN(F256,0)=$S$12,$U$12,$T$12))</f>
        <v>　レベル　4</v>
      </c>
      <c r="G260" s="3385"/>
      <c r="H260" s="3391"/>
      <c r="I260" s="3391"/>
      <c r="J260" s="3386"/>
      <c r="K260" s="942" t="str">
        <f>IF(K256=$S$14,$T$12,IF(ROUNDDOWN(K256,0)=$S$12,$U$12,$T$12))</f>
        <v>　レベル　4</v>
      </c>
      <c r="L260" s="3385" t="s">
        <v>2449</v>
      </c>
      <c r="M260" s="3391"/>
      <c r="N260" s="3391"/>
      <c r="O260" s="3386"/>
    </row>
    <row r="261" spans="2:15" ht="15.75" hidden="1">
      <c r="B261" s="1">
        <v>5</v>
      </c>
      <c r="C261" s="1">
        <v>5</v>
      </c>
      <c r="D261" s="908"/>
      <c r="E261" s="1059"/>
      <c r="F261" s="953" t="str">
        <f>IF(F256=$S$14,$T$13,IF(ROUNDDOWN(F256,0)=$S$13,$U$13,$T$13))</f>
        <v>　レベル　5</v>
      </c>
      <c r="G261" s="3383" t="s">
        <v>2450</v>
      </c>
      <c r="H261" s="3390"/>
      <c r="I261" s="3390"/>
      <c r="J261" s="3384"/>
      <c r="K261" s="953" t="str">
        <f>IF(K256=$S$14,$T$13,IF(ROUNDDOWN(K256,0)=$S$13,$U$13,$T$13))</f>
        <v>　レベル　5</v>
      </c>
      <c r="L261" s="3383" t="s">
        <v>2451</v>
      </c>
      <c r="M261" s="3390"/>
      <c r="N261" s="3390"/>
      <c r="O261" s="3384"/>
    </row>
    <row r="262" spans="2:15" ht="15.75">
      <c r="B262" s="960">
        <v>0</v>
      </c>
      <c r="C262" s="960">
        <v>0</v>
      </c>
      <c r="D262" s="908"/>
      <c r="E262" s="1059"/>
      <c r="F262" s="1059"/>
      <c r="G262" s="1109"/>
      <c r="H262" s="1110"/>
      <c r="I262" s="1110"/>
      <c r="J262" s="1110"/>
      <c r="K262" s="1110"/>
      <c r="L262" s="1110"/>
      <c r="M262" s="1110"/>
      <c r="N262" s="1110"/>
      <c r="O262" s="1110"/>
    </row>
    <row r="263" spans="2:15" ht="15.75">
      <c r="D263" s="1326">
        <v>3</v>
      </c>
      <c r="E263" s="1042" t="s">
        <v>894</v>
      </c>
      <c r="F263" s="916"/>
      <c r="G263" s="1044"/>
      <c r="H263" s="1044"/>
      <c r="I263" s="1044"/>
      <c r="J263" s="1044"/>
      <c r="K263" s="1044"/>
      <c r="L263" s="1044"/>
      <c r="M263" s="1044"/>
      <c r="N263" s="1044"/>
      <c r="O263" s="1044"/>
    </row>
    <row r="264" spans="2:15" ht="15.75">
      <c r="D264" s="1326">
        <v>3.1</v>
      </c>
      <c r="E264" s="1042" t="s">
        <v>895</v>
      </c>
      <c r="F264" s="916"/>
      <c r="G264" s="1043"/>
      <c r="H264" s="1044"/>
      <c r="I264" s="1111"/>
      <c r="J264" s="1111"/>
      <c r="K264" s="1044"/>
      <c r="L264" s="1043"/>
      <c r="M264" s="1044"/>
      <c r="N264" s="1044"/>
      <c r="O264" s="1044"/>
    </row>
    <row r="265" spans="2:15" ht="15.75">
      <c r="D265" s="908"/>
      <c r="E265" s="913"/>
      <c r="F265" s="919" t="s">
        <v>896</v>
      </c>
      <c r="G265" s="996"/>
      <c r="H265" s="1045"/>
      <c r="I265" s="1025"/>
      <c r="J265" s="999" t="str">
        <f>IF(OR(F267=0,AND(J266=0,O266=0)),$R$3,"")</f>
        <v/>
      </c>
      <c r="K265" s="1084"/>
      <c r="L265" s="996"/>
      <c r="M265" s="1045"/>
      <c r="N265" s="1025"/>
      <c r="O265" s="999"/>
    </row>
    <row r="266" spans="2:15" ht="16.5" thickBot="1">
      <c r="D266" s="908"/>
      <c r="E266" s="913"/>
      <c r="F266" s="923" t="s">
        <v>1781</v>
      </c>
      <c r="G266" s="924"/>
      <c r="H266" s="925"/>
      <c r="I266" s="926" t="s">
        <v>1364</v>
      </c>
      <c r="J266" s="929">
        <f>重み!M37</f>
        <v>0.6</v>
      </c>
      <c r="K266" s="923" t="s">
        <v>1968</v>
      </c>
      <c r="L266" s="924"/>
      <c r="M266" s="925"/>
      <c r="N266" s="926" t="s">
        <v>1364</v>
      </c>
      <c r="O266" s="929">
        <f>重み!N37</f>
        <v>0</v>
      </c>
    </row>
    <row r="267" spans="2:15" ht="27" customHeight="1" thickBot="1">
      <c r="D267" s="908"/>
      <c r="E267" s="913"/>
      <c r="F267" s="930">
        <v>3</v>
      </c>
      <c r="G267" s="1046" t="s">
        <v>3062</v>
      </c>
      <c r="H267" s="935"/>
      <c r="I267" s="935"/>
      <c r="J267" s="936"/>
      <c r="K267" s="930">
        <v>3</v>
      </c>
      <c r="L267" s="1046" t="s">
        <v>1118</v>
      </c>
      <c r="M267" s="936"/>
      <c r="N267" s="1046" t="s">
        <v>1905</v>
      </c>
      <c r="O267" s="936"/>
    </row>
    <row r="268" spans="2:15" ht="15.75">
      <c r="B268" s="1">
        <v>1</v>
      </c>
      <c r="C268" s="1">
        <v>1</v>
      </c>
      <c r="D268" s="908"/>
      <c r="E268" s="913"/>
      <c r="F268" s="937" t="str">
        <f>IF(F267=$S$14,$T$9,IF(ROUNDDOWN(F267,0)=$S$9,$U$9,$T$9))</f>
        <v>　レベル　1</v>
      </c>
      <c r="G268" s="3381" t="s">
        <v>898</v>
      </c>
      <c r="H268" s="3401"/>
      <c r="I268" s="3401"/>
      <c r="J268" s="3387"/>
      <c r="K268" s="937" t="str">
        <f>IF(K267=$S$14,$T$9,IF(ROUNDDOWN(K267,0)=$S$9,$U$9,$T$9))</f>
        <v>　レベル　1</v>
      </c>
      <c r="L268" s="3381" t="s">
        <v>1602</v>
      </c>
      <c r="M268" s="3399"/>
      <c r="N268" s="3381" t="s">
        <v>899</v>
      </c>
      <c r="O268" s="3399"/>
    </row>
    <row r="269" spans="2:15" ht="15.75" customHeight="1">
      <c r="B269" s="1">
        <v>2</v>
      </c>
      <c r="C269" s="1">
        <v>2</v>
      </c>
      <c r="D269" s="908"/>
      <c r="E269" s="913"/>
      <c r="F269" s="942" t="str">
        <f>IF(F267=$S$14,$T$10,IF(ROUNDDOWN(F267,0)=$S$10,$U$10,$T$10))</f>
        <v>　レベル　2</v>
      </c>
      <c r="G269" s="3385" t="s">
        <v>900</v>
      </c>
      <c r="H269" s="3402"/>
      <c r="I269" s="3402"/>
      <c r="J269" s="3429"/>
      <c r="K269" s="942" t="str">
        <f>IF(K267=$S$14,$T$10,IF(ROUNDDOWN(K267,0)=$S$10,$U$10,$T$10))</f>
        <v>　レベル　2</v>
      </c>
      <c r="L269" s="3385" t="s">
        <v>901</v>
      </c>
      <c r="M269" s="3386"/>
      <c r="N269" s="3385" t="s">
        <v>902</v>
      </c>
      <c r="O269" s="3386"/>
    </row>
    <row r="270" spans="2:15" ht="15.75" customHeight="1">
      <c r="B270" s="1">
        <v>3</v>
      </c>
      <c r="C270" s="1">
        <v>3</v>
      </c>
      <c r="D270" s="908"/>
      <c r="E270" s="913"/>
      <c r="F270" s="942" t="str">
        <f>IF(F267=$S$14,$T$11,IF(ROUNDDOWN(F267,0)=$S$11,$U$11,$T$11))</f>
        <v>■レベル　3</v>
      </c>
      <c r="G270" s="3419" t="s">
        <v>903</v>
      </c>
      <c r="H270" s="3420"/>
      <c r="I270" s="3420"/>
      <c r="J270" s="3421"/>
      <c r="K270" s="942" t="str">
        <f>IF(K267=$S$14,$T$11,IF(ROUNDDOWN(K267,0)=$S$11,$U$11,$T$11))</f>
        <v>■レベル　3</v>
      </c>
      <c r="L270" s="3385" t="s">
        <v>1603</v>
      </c>
      <c r="M270" s="3386"/>
      <c r="N270" s="3385" t="s">
        <v>900</v>
      </c>
      <c r="O270" s="3386"/>
    </row>
    <row r="271" spans="2:15" ht="15.75" customHeight="1">
      <c r="B271" s="1">
        <v>4</v>
      </c>
      <c r="C271" s="1">
        <v>4</v>
      </c>
      <c r="D271" s="908"/>
      <c r="E271" s="913"/>
      <c r="F271" s="942" t="str">
        <f>IF(F267=$S$14,$T$12,IF(ROUNDDOWN(F267,0)=$S$12,$U$12,$T$12))</f>
        <v>　レベル　4</v>
      </c>
      <c r="G271" s="3385" t="s">
        <v>904</v>
      </c>
      <c r="H271" s="3402"/>
      <c r="I271" s="3402"/>
      <c r="J271" s="3429"/>
      <c r="K271" s="942" t="str">
        <f>IF(K267=$S$14,$T$12,IF(ROUNDDOWN(K267,0)=$S$12,$U$12,$T$12))</f>
        <v>　レベル　4</v>
      </c>
      <c r="L271" s="3385" t="s">
        <v>2838</v>
      </c>
      <c r="M271" s="3386"/>
      <c r="N271" s="3385" t="s">
        <v>903</v>
      </c>
      <c r="O271" s="3386"/>
    </row>
    <row r="272" spans="2:15" ht="15.75">
      <c r="B272" s="1">
        <v>5</v>
      </c>
      <c r="C272" s="1">
        <v>5</v>
      </c>
      <c r="D272" s="908"/>
      <c r="E272" s="913"/>
      <c r="F272" s="953" t="str">
        <f>IF(F267=$S$14,$T$13,IF(ROUNDDOWN(F267,0)=$S$13,$U$13,$T$13))</f>
        <v>　レベル　5</v>
      </c>
      <c r="G272" s="3410" t="s">
        <v>905</v>
      </c>
      <c r="H272" s="3430"/>
      <c r="I272" s="3430"/>
      <c r="J272" s="3431"/>
      <c r="K272" s="953" t="str">
        <f>IF(K267=$S$14,$T$13,IF(ROUNDDOWN(K267,0)=$S$13,$U$13,$T$13))</f>
        <v>　レベル　5</v>
      </c>
      <c r="L272" s="3383" t="s">
        <v>2839</v>
      </c>
      <c r="M272" s="3384"/>
      <c r="N272" s="3383" t="s">
        <v>2840</v>
      </c>
      <c r="O272" s="3384"/>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906</v>
      </c>
      <c r="G274" s="996"/>
      <c r="H274" s="1045"/>
      <c r="I274" s="1025"/>
      <c r="J274" s="999" t="str">
        <f>IF(OR(F276=0,J275=0),$R$3,"")</f>
        <v>&lt;評価しない&gt;</v>
      </c>
      <c r="K274" s="1082"/>
      <c r="L274" s="1083"/>
      <c r="M274" s="1083"/>
      <c r="N274" s="1081"/>
      <c r="O274" s="1081"/>
    </row>
    <row r="275" spans="2:15" ht="16.5" thickBot="1">
      <c r="D275" s="908"/>
      <c r="E275" s="913"/>
      <c r="F275" s="923" t="s">
        <v>2841</v>
      </c>
      <c r="G275" s="924"/>
      <c r="H275" s="925"/>
      <c r="I275" s="926" t="s">
        <v>1364</v>
      </c>
      <c r="J275" s="929">
        <f>重み!N38</f>
        <v>0</v>
      </c>
      <c r="K275" s="1082"/>
      <c r="L275" s="1083"/>
      <c r="M275" s="1083"/>
      <c r="N275" s="1081"/>
      <c r="O275" s="1081"/>
    </row>
    <row r="276" spans="2:15" ht="27" customHeight="1" thickBot="1">
      <c r="D276" s="908"/>
      <c r="E276" s="913"/>
      <c r="F276" s="930">
        <v>3</v>
      </c>
      <c r="G276" s="1046" t="s">
        <v>1905</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381" t="s">
        <v>907</v>
      </c>
      <c r="H277" s="3401"/>
      <c r="I277" s="3401"/>
      <c r="J277" s="3387"/>
      <c r="K277" s="1082"/>
      <c r="L277" s="1083"/>
      <c r="M277" s="1083"/>
      <c r="N277" s="1081"/>
      <c r="O277" s="1081"/>
    </row>
    <row r="278" spans="2:15" ht="15.75">
      <c r="B278" s="1" t="s">
        <v>2842</v>
      </c>
      <c r="C278" s="1">
        <v>2</v>
      </c>
      <c r="D278" s="908"/>
      <c r="E278" s="913"/>
      <c r="F278" s="942" t="str">
        <f>IF(F276=$S$14,$T$10,IF(ROUNDDOWN(F276,0)=$S$10,$U$10,$T$10))</f>
        <v>　レベル　2</v>
      </c>
      <c r="G278" s="3385" t="s">
        <v>2178</v>
      </c>
      <c r="H278" s="3402"/>
      <c r="I278" s="3402"/>
      <c r="J278" s="3429"/>
      <c r="K278" s="1082"/>
      <c r="L278" s="1083"/>
      <c r="M278" s="1083"/>
      <c r="N278" s="1081"/>
      <c r="O278" s="1081"/>
    </row>
    <row r="279" spans="2:15" ht="15.75">
      <c r="B279" s="1">
        <v>3</v>
      </c>
      <c r="C279" s="1">
        <v>3</v>
      </c>
      <c r="D279" s="908"/>
      <c r="E279" s="913"/>
      <c r="F279" s="942" t="str">
        <f>IF(F276=$S$14,$T$11,IF(ROUNDDOWN(F276,0)=$S$11,$U$11,$T$11))</f>
        <v>■レベル　3</v>
      </c>
      <c r="G279" s="3385" t="s">
        <v>908</v>
      </c>
      <c r="H279" s="3402"/>
      <c r="I279" s="3402"/>
      <c r="J279" s="3429"/>
      <c r="K279" s="1082"/>
      <c r="L279" s="1083"/>
      <c r="M279" s="1083"/>
      <c r="N279" s="1081"/>
      <c r="O279" s="1081"/>
    </row>
    <row r="280" spans="2:15" ht="15.75">
      <c r="B280" s="1" t="s">
        <v>2842</v>
      </c>
      <c r="C280" s="1">
        <v>4</v>
      </c>
      <c r="D280" s="908"/>
      <c r="E280" s="913"/>
      <c r="F280" s="942" t="str">
        <f>IF(F276=$S$14,$T$12,IF(ROUNDDOWN(F276,0)=$S$12,$U$12,$T$12))</f>
        <v>　レベル　4</v>
      </c>
      <c r="G280" s="3385" t="s">
        <v>2178</v>
      </c>
      <c r="H280" s="3402"/>
      <c r="I280" s="3402"/>
      <c r="J280" s="3429"/>
      <c r="K280" s="1082"/>
      <c r="L280" s="1083"/>
      <c r="M280" s="1083"/>
      <c r="N280" s="1081"/>
      <c r="O280" s="1081"/>
    </row>
    <row r="281" spans="2:15" ht="15.75">
      <c r="B281" s="1">
        <v>5</v>
      </c>
      <c r="C281" s="1">
        <v>5</v>
      </c>
      <c r="D281" s="908"/>
      <c r="E281" s="913"/>
      <c r="F281" s="953" t="str">
        <f>IF(F276=$S$14,$T$13,IF(ROUNDDOWN(F276,0)=$S$13,$U$13,$T$13))</f>
        <v>　レベル　5</v>
      </c>
      <c r="G281" s="3410" t="s">
        <v>909</v>
      </c>
      <c r="H281" s="3430"/>
      <c r="I281" s="3430"/>
      <c r="J281" s="3431"/>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910</v>
      </c>
      <c r="G283" s="996"/>
      <c r="H283" s="1045"/>
      <c r="I283" s="1025"/>
      <c r="J283" s="999" t="str">
        <f>IF(OR(F285=0,AND(J284=0,O284=0)),$R$3,"")</f>
        <v/>
      </c>
      <c r="K283" s="1084"/>
      <c r="L283" s="996"/>
      <c r="M283" s="1045"/>
      <c r="N283" s="1025"/>
      <c r="O283" s="999"/>
    </row>
    <row r="284" spans="2:15" ht="16.5" thickBot="1">
      <c r="D284" s="908"/>
      <c r="E284" s="1058"/>
      <c r="F284" s="923" t="s">
        <v>2843</v>
      </c>
      <c r="G284" s="924"/>
      <c r="H284" s="925"/>
      <c r="I284" s="926" t="s">
        <v>1364</v>
      </c>
      <c r="J284" s="929">
        <f>重み!M39</f>
        <v>0.4</v>
      </c>
      <c r="K284" s="923" t="s">
        <v>1968</v>
      </c>
      <c r="L284" s="924"/>
      <c r="M284" s="925"/>
      <c r="N284" s="926" t="s">
        <v>1364</v>
      </c>
      <c r="O284" s="929">
        <f>重み!N39</f>
        <v>0</v>
      </c>
    </row>
    <row r="285" spans="2:15" ht="27.75" customHeight="1" thickBot="1">
      <c r="D285" s="908"/>
      <c r="E285" s="1058"/>
      <c r="F285" s="930">
        <v>3</v>
      </c>
      <c r="G285" s="1046" t="s">
        <v>911</v>
      </c>
      <c r="H285" s="935"/>
      <c r="I285" s="1046" t="s">
        <v>3063</v>
      </c>
      <c r="J285" s="936"/>
      <c r="K285" s="930">
        <v>3</v>
      </c>
      <c r="L285" s="1046" t="s">
        <v>912</v>
      </c>
      <c r="M285" s="936"/>
      <c r="N285" s="1046"/>
      <c r="O285" s="1051"/>
    </row>
    <row r="286" spans="2:15" ht="15.75" customHeight="1">
      <c r="B286" s="1" t="s">
        <v>2844</v>
      </c>
      <c r="C286" s="1" t="s">
        <v>2844</v>
      </c>
      <c r="D286" s="908"/>
      <c r="E286" s="1059"/>
      <c r="F286" s="937" t="str">
        <f>IF(F285=$S$14,$T$9,IF(ROUNDDOWN(F285,0)=$S$9,$U$9,$T$9))</f>
        <v>　レベル　1</v>
      </c>
      <c r="G286" s="3381" t="s">
        <v>2178</v>
      </c>
      <c r="H286" s="3387"/>
      <c r="I286" s="3381" t="s">
        <v>2178</v>
      </c>
      <c r="J286" s="3399"/>
      <c r="K286" s="937" t="str">
        <f>IF(K285=$S$14,$T$9,IF(ROUNDDOWN(K285,0)=$S$9,$U$9,$T$9))</f>
        <v>　レベル　1</v>
      </c>
      <c r="L286" s="3381" t="s">
        <v>2178</v>
      </c>
      <c r="M286" s="3401"/>
      <c r="N286" s="3401"/>
      <c r="O286" s="3387"/>
    </row>
    <row r="287" spans="2:15" ht="15.75" customHeight="1">
      <c r="B287" s="1" t="s">
        <v>2844</v>
      </c>
      <c r="C287" s="1" t="s">
        <v>2844</v>
      </c>
      <c r="D287" s="908"/>
      <c r="E287" s="1059"/>
      <c r="F287" s="942" t="str">
        <f>IF(F285=$S$14,$T$10,IF(ROUNDDOWN(F285,0)=$S$10,$U$10,$T$10))</f>
        <v>　レベル　2</v>
      </c>
      <c r="G287" s="3385" t="s">
        <v>2178</v>
      </c>
      <c r="H287" s="3386"/>
      <c r="I287" s="3385" t="s">
        <v>2178</v>
      </c>
      <c r="J287" s="3386"/>
      <c r="K287" s="942" t="str">
        <f>IF(K285=$S$14,$T$10,IF(ROUNDDOWN(K285,0)=$S$10,$U$10,$T$10))</f>
        <v>　レベル　2</v>
      </c>
      <c r="L287" s="3419" t="s">
        <v>2178</v>
      </c>
      <c r="M287" s="3420"/>
      <c r="N287" s="3420"/>
      <c r="O287" s="3421"/>
    </row>
    <row r="288" spans="2:15" ht="15.75" customHeight="1">
      <c r="B288" s="1">
        <v>3</v>
      </c>
      <c r="C288" s="1">
        <v>3</v>
      </c>
      <c r="D288" s="908"/>
      <c r="E288" s="1059"/>
      <c r="F288" s="942" t="str">
        <f>IF(F285=$S$14,$T$11,IF(ROUNDDOWN(F285,0)=$S$11,$U$11,$T$11))</f>
        <v>■レベル　3</v>
      </c>
      <c r="G288" s="3385" t="s">
        <v>913</v>
      </c>
      <c r="H288" s="3386"/>
      <c r="I288" s="3385" t="s">
        <v>2845</v>
      </c>
      <c r="J288" s="3386"/>
      <c r="K288" s="942" t="str">
        <f>IF(K285=$S$14,$T$11,IF(ROUNDDOWN(K285,0)=$S$11,$U$11,$T$11))</f>
        <v>■レベル　3</v>
      </c>
      <c r="L288" s="3419" t="s">
        <v>2845</v>
      </c>
      <c r="M288" s="3420"/>
      <c r="N288" s="3420"/>
      <c r="O288" s="3421"/>
    </row>
    <row r="289" spans="2:15" ht="15.75" customHeight="1">
      <c r="B289" s="1">
        <v>4</v>
      </c>
      <c r="C289" s="1" t="s">
        <v>2844</v>
      </c>
      <c r="D289" s="908"/>
      <c r="E289" s="1059"/>
      <c r="F289" s="942" t="str">
        <f>IF(F285=$S$14,$T$12,IF(ROUNDDOWN(F285,0)=$S$12,$U$12,$T$12))</f>
        <v>　レベル　4</v>
      </c>
      <c r="G289" s="3385" t="s">
        <v>914</v>
      </c>
      <c r="H289" s="3386"/>
      <c r="I289" s="3385" t="s">
        <v>2178</v>
      </c>
      <c r="J289" s="3386"/>
      <c r="K289" s="942" t="str">
        <f>IF(K285=$S$14,$T$12,IF(ROUNDDOWN(K285,0)=$S$12,$U$12,$T$12))</f>
        <v>　レベル　4</v>
      </c>
      <c r="L289" s="3419" t="s">
        <v>2178</v>
      </c>
      <c r="M289" s="3420"/>
      <c r="N289" s="3420"/>
      <c r="O289" s="3421"/>
    </row>
    <row r="290" spans="2:15" ht="33.75" customHeight="1">
      <c r="B290" s="1">
        <v>5</v>
      </c>
      <c r="C290" s="1">
        <v>5</v>
      </c>
      <c r="D290" s="908"/>
      <c r="E290" s="1059"/>
      <c r="F290" s="953" t="str">
        <f>IF(F285=$S$14,$T$13,IF(ROUNDDOWN(F285,0)=$S$13,$U$13,$T$13))</f>
        <v>　レベル　5</v>
      </c>
      <c r="G290" s="3383" t="s">
        <v>1506</v>
      </c>
      <c r="H290" s="3384"/>
      <c r="I290" s="3383" t="s">
        <v>1507</v>
      </c>
      <c r="J290" s="3384"/>
      <c r="K290" s="953" t="str">
        <f>IF(K285=$S$14,$T$13,IF(ROUNDDOWN(K285,0)=$S$13,$U$13,$T$13))</f>
        <v>　レベル　5</v>
      </c>
      <c r="L290" s="3410" t="s">
        <v>1507</v>
      </c>
      <c r="M290" s="3430"/>
      <c r="N290" s="3430"/>
      <c r="O290" s="3431"/>
    </row>
    <row r="291" spans="2:15" ht="15.75">
      <c r="B291" s="960">
        <v>0</v>
      </c>
      <c r="C291" s="960">
        <v>0</v>
      </c>
      <c r="D291" s="908"/>
      <c r="E291" s="909"/>
      <c r="F291" s="909"/>
      <c r="G291" s="995"/>
      <c r="H291" s="995"/>
      <c r="I291" s="995"/>
      <c r="J291" s="995"/>
      <c r="K291" s="995"/>
      <c r="L291" s="995"/>
      <c r="M291" s="995"/>
      <c r="N291" s="995"/>
      <c r="O291" s="995"/>
    </row>
    <row r="292" spans="2:15" ht="15.75">
      <c r="D292" s="1326">
        <v>3.2</v>
      </c>
      <c r="E292" s="1042" t="s">
        <v>915</v>
      </c>
      <c r="F292" s="916"/>
      <c r="G292" s="1043"/>
      <c r="H292" s="1044"/>
      <c r="I292" s="1044"/>
      <c r="J292" s="1044"/>
      <c r="K292" s="1044"/>
      <c r="L292" s="1043"/>
      <c r="M292" s="1044"/>
      <c r="N292" s="1044"/>
      <c r="O292" s="1044"/>
    </row>
    <row r="293" spans="2:15" ht="15.75" hidden="1">
      <c r="D293" s="908"/>
      <c r="E293" s="913"/>
      <c r="F293" s="2233" t="s">
        <v>916</v>
      </c>
      <c r="G293" s="996"/>
      <c r="H293" s="1045"/>
      <c r="I293" s="1025"/>
      <c r="J293" s="999" t="str">
        <f>IF(OR(F295=0,AND(J294=0,O294=0)),$R$3,"")</f>
        <v>&lt;評価しない&gt;</v>
      </c>
      <c r="K293" s="1084"/>
      <c r="L293" s="996"/>
      <c r="M293" s="1045"/>
      <c r="N293" s="1025"/>
      <c r="O293" s="999"/>
    </row>
    <row r="294" spans="2:15" ht="15.75" hidden="1">
      <c r="D294" s="908"/>
      <c r="E294" s="913"/>
      <c r="F294" s="923" t="s">
        <v>1508</v>
      </c>
      <c r="G294" s="924"/>
      <c r="H294" s="925"/>
      <c r="I294" s="926" t="s">
        <v>1364</v>
      </c>
      <c r="J294" s="929">
        <f>重み!M41</f>
        <v>0</v>
      </c>
      <c r="K294" s="923" t="s">
        <v>1968</v>
      </c>
      <c r="L294" s="924"/>
      <c r="M294" s="925"/>
      <c r="N294" s="926" t="s">
        <v>1364</v>
      </c>
      <c r="O294" s="929">
        <f>重み!N41</f>
        <v>0</v>
      </c>
    </row>
    <row r="295" spans="2:15" ht="16.5" hidden="1" thickBot="1">
      <c r="D295" s="908"/>
      <c r="E295" s="913"/>
      <c r="F295" s="930">
        <v>0</v>
      </c>
      <c r="G295" s="1046" t="s">
        <v>897</v>
      </c>
      <c r="H295" s="935"/>
      <c r="I295" s="1046"/>
      <c r="J295" s="936"/>
      <c r="K295" s="930">
        <v>0</v>
      </c>
      <c r="L295" s="1046" t="s">
        <v>912</v>
      </c>
      <c r="M295" s="936"/>
      <c r="N295" s="1046"/>
      <c r="O295" s="1051"/>
    </row>
    <row r="296" spans="2:15" ht="15.75" hidden="1">
      <c r="B296" s="1">
        <v>1</v>
      </c>
      <c r="C296" s="1">
        <v>1</v>
      </c>
      <c r="D296" s="908"/>
      <c r="E296" s="913"/>
      <c r="F296" s="937" t="str">
        <f>IF(F295=$S$14,$T$9,IF(ROUNDDOWN(F295,0)=$S$9,$U$9,$T$9))</f>
        <v>　レベル　1</v>
      </c>
      <c r="G296" s="3381" t="s">
        <v>808</v>
      </c>
      <c r="H296" s="3401"/>
      <c r="I296" s="3401"/>
      <c r="J296" s="3387"/>
      <c r="K296" s="937" t="str">
        <f>IF(K295=$S$14,$T$9,IF(ROUNDDOWN(K295,0)=$S$9,$U$9,$T$9))</f>
        <v>　レベル　1</v>
      </c>
      <c r="L296" s="3381" t="s">
        <v>809</v>
      </c>
      <c r="M296" s="3401"/>
      <c r="N296" s="3401"/>
      <c r="O296" s="3387"/>
    </row>
    <row r="297" spans="2:15" ht="15.75" hidden="1">
      <c r="B297" s="1" t="s">
        <v>1509</v>
      </c>
      <c r="C297" s="1" t="s">
        <v>1509</v>
      </c>
      <c r="D297" s="908"/>
      <c r="E297" s="913"/>
      <c r="F297" s="942" t="str">
        <f>IF(F295=$S$14,$T$10,IF(ROUNDDOWN(F295,0)=$S$10,$U$10,$T$10))</f>
        <v>　レベル　2</v>
      </c>
      <c r="G297" s="3419" t="s">
        <v>2178</v>
      </c>
      <c r="H297" s="3420"/>
      <c r="I297" s="3420"/>
      <c r="J297" s="3421"/>
      <c r="K297" s="942" t="str">
        <f>IF(K295=$S$14,$T$10,IF(ROUNDDOWN(K295,0)=$S$10,$U$10,$T$10))</f>
        <v>　レベル　2</v>
      </c>
      <c r="L297" s="3419" t="s">
        <v>2178</v>
      </c>
      <c r="M297" s="3420"/>
      <c r="N297" s="3420"/>
      <c r="O297" s="3421"/>
    </row>
    <row r="298" spans="2:15" ht="15.75" hidden="1">
      <c r="B298" s="1">
        <v>3</v>
      </c>
      <c r="C298" s="1">
        <v>3</v>
      </c>
      <c r="D298" s="908"/>
      <c r="E298" s="913"/>
      <c r="F298" s="942" t="str">
        <f>IF(F295=$S$14,$T$11,IF(ROUNDDOWN(F295,0)=$S$11,$U$11,$T$11))</f>
        <v>　レベル　3</v>
      </c>
      <c r="G298" s="3445" t="s">
        <v>810</v>
      </c>
      <c r="H298" s="3446"/>
      <c r="I298" s="3446"/>
      <c r="J298" s="3447"/>
      <c r="K298" s="942" t="str">
        <f>IF(K295=$S$14,$T$11,IF(ROUNDDOWN(K295,0)=$S$11,$U$11,$T$11))</f>
        <v>　レベル　3</v>
      </c>
      <c r="L298" s="3445" t="s">
        <v>1510</v>
      </c>
      <c r="M298" s="3446"/>
      <c r="N298" s="3446"/>
      <c r="O298" s="3447"/>
    </row>
    <row r="299" spans="2:15" ht="15.75" hidden="1">
      <c r="B299" s="1" t="s">
        <v>1509</v>
      </c>
      <c r="C299" s="1" t="s">
        <v>1509</v>
      </c>
      <c r="D299" s="908"/>
      <c r="E299" s="913"/>
      <c r="F299" s="942" t="str">
        <f>IF(F295=$S$14,$T$12,IF(ROUNDDOWN(F295,0)=$S$12,$U$12,$T$12))</f>
        <v>　レベル　4</v>
      </c>
      <c r="G299" s="3419" t="s">
        <v>2178</v>
      </c>
      <c r="H299" s="3420"/>
      <c r="I299" s="3420"/>
      <c r="J299" s="3421"/>
      <c r="K299" s="942" t="str">
        <f>IF(K295=$S$14,$T$12,IF(ROUNDDOWN(K295,0)=$S$12,$U$12,$T$12))</f>
        <v>　レベル　4</v>
      </c>
      <c r="L299" s="3419" t="s">
        <v>2178</v>
      </c>
      <c r="M299" s="3420"/>
      <c r="N299" s="3420"/>
      <c r="O299" s="3421"/>
    </row>
    <row r="300" spans="2:15" ht="15.75" hidden="1">
      <c r="B300" s="1">
        <v>5</v>
      </c>
      <c r="C300" s="1">
        <v>5</v>
      </c>
      <c r="D300" s="908"/>
      <c r="E300" s="913"/>
      <c r="F300" s="953" t="str">
        <f>IF(F295=$S$14,$T$13,IF(ROUNDDOWN(F295,0)=$S$13,$U$13,$T$13))</f>
        <v>　レベル　5</v>
      </c>
      <c r="G300" s="3410" t="s">
        <v>811</v>
      </c>
      <c r="H300" s="3430"/>
      <c r="I300" s="3430"/>
      <c r="J300" s="3431"/>
      <c r="K300" s="953" t="str">
        <f>IF(K295=$S$14,$T$13,IF(ROUNDDOWN(K295,0)=$S$13,$U$13,$T$13))</f>
        <v>　レベル　5</v>
      </c>
      <c r="L300" s="3410" t="s">
        <v>1511</v>
      </c>
      <c r="M300" s="3430"/>
      <c r="N300" s="3430"/>
      <c r="O300" s="3431"/>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2905</v>
      </c>
      <c r="G302" s="996"/>
      <c r="H302" s="1045"/>
      <c r="I302" s="1025"/>
      <c r="J302" s="999" t="str">
        <f>IF(OR(F304=0,AND(J303=0,O303=0)),$R$3,"")</f>
        <v/>
      </c>
      <c r="K302" s="1084"/>
      <c r="L302" s="996"/>
      <c r="M302" s="1045"/>
      <c r="N302" s="1025"/>
      <c r="O302" s="999"/>
    </row>
    <row r="303" spans="2:15" ht="16.5" thickBot="1">
      <c r="D303" s="908"/>
      <c r="E303" s="1112"/>
      <c r="F303" s="923" t="s">
        <v>1323</v>
      </c>
      <c r="G303" s="924"/>
      <c r="H303" s="925"/>
      <c r="I303" s="926" t="s">
        <v>1364</v>
      </c>
      <c r="J303" s="929">
        <f>重み!M42</f>
        <v>1</v>
      </c>
      <c r="K303" s="923" t="s">
        <v>1968</v>
      </c>
      <c r="L303" s="924"/>
      <c r="M303" s="925"/>
      <c r="N303" s="926" t="s">
        <v>1364</v>
      </c>
      <c r="O303" s="929">
        <f>重み!N42</f>
        <v>0</v>
      </c>
    </row>
    <row r="304" spans="2:15" ht="27" customHeight="1" thickBot="1">
      <c r="D304" s="908"/>
      <c r="E304" s="1112"/>
      <c r="F304" s="930">
        <v>3</v>
      </c>
      <c r="G304" s="1046" t="s">
        <v>484</v>
      </c>
      <c r="H304" s="935"/>
      <c r="I304" s="1046" t="s">
        <v>485</v>
      </c>
      <c r="J304" s="936"/>
      <c r="K304" s="930">
        <v>3</v>
      </c>
      <c r="L304" s="1046" t="s">
        <v>912</v>
      </c>
      <c r="M304" s="936"/>
      <c r="N304" s="1046"/>
      <c r="O304" s="1051"/>
    </row>
    <row r="305" spans="2:15" ht="20.25" customHeight="1">
      <c r="B305" s="1">
        <v>1</v>
      </c>
      <c r="C305" s="1">
        <v>1</v>
      </c>
      <c r="D305" s="908"/>
      <c r="E305" s="1112"/>
      <c r="F305" s="937" t="str">
        <f>IF(F304=$S$14,$T$9,IF(ROUNDDOWN(F304,0)=$S$9,$U$9,$T$9))</f>
        <v>　レベル　1</v>
      </c>
      <c r="G305" s="3381" t="s">
        <v>1512</v>
      </c>
      <c r="H305" s="3387"/>
      <c r="I305" s="3381" t="s">
        <v>1512</v>
      </c>
      <c r="J305" s="3387"/>
      <c r="K305" s="937" t="str">
        <f>IF(K304=$S$14,$T$9,IF(ROUNDDOWN(K304,0)=$S$9,$U$9,$T$9))</f>
        <v>　レベル　1</v>
      </c>
      <c r="L305" s="3381" t="s">
        <v>486</v>
      </c>
      <c r="M305" s="3401"/>
      <c r="N305" s="3401"/>
      <c r="O305" s="3387"/>
    </row>
    <row r="306" spans="2:15" ht="33.75" customHeight="1">
      <c r="B306" s="1">
        <v>2</v>
      </c>
      <c r="C306" s="1" t="s">
        <v>2844</v>
      </c>
      <c r="D306" s="908"/>
      <c r="E306" s="1112"/>
      <c r="F306" s="942" t="str">
        <f>IF(F304=$S$14,$T$10,IF(ROUNDDOWN(F304,0)=$S$10,$U$10,$T$10))</f>
        <v>　レベル　2</v>
      </c>
      <c r="G306" s="3385" t="s">
        <v>1513</v>
      </c>
      <c r="H306" s="3386"/>
      <c r="I306" s="3385" t="s">
        <v>2178</v>
      </c>
      <c r="J306" s="3386"/>
      <c r="K306" s="942" t="str">
        <f>IF(K304=$S$14,$T$10,IF(ROUNDDOWN(K304,0)=$S$10,$U$10,$T$10))</f>
        <v>　レベル　2</v>
      </c>
      <c r="L306" s="3419" t="s">
        <v>2178</v>
      </c>
      <c r="M306" s="3420"/>
      <c r="N306" s="3420"/>
      <c r="O306" s="3421"/>
    </row>
    <row r="307" spans="2:15" ht="48" customHeight="1">
      <c r="B307" s="1">
        <v>3</v>
      </c>
      <c r="C307" s="1">
        <v>3</v>
      </c>
      <c r="D307" s="908"/>
      <c r="E307" s="1112"/>
      <c r="F307" s="942" t="str">
        <f>IF(F304=$S$14,$T$11,IF(ROUNDDOWN(F304,0)=$S$11,$U$11,$T$11))</f>
        <v>■レベル　3</v>
      </c>
      <c r="G307" s="3385" t="s">
        <v>1514</v>
      </c>
      <c r="H307" s="3386"/>
      <c r="I307" s="3385" t="s">
        <v>1515</v>
      </c>
      <c r="J307" s="3386"/>
      <c r="K307" s="942" t="str">
        <f>IF(K304=$S$14,$T$11,IF(ROUNDDOWN(K304,0)=$S$11,$U$11,$T$11))</f>
        <v>■レベル　3</v>
      </c>
      <c r="L307" s="3419" t="s">
        <v>1515</v>
      </c>
      <c r="M307" s="3420"/>
      <c r="N307" s="3420"/>
      <c r="O307" s="3421"/>
    </row>
    <row r="308" spans="2:15" ht="55.5" customHeight="1">
      <c r="B308" s="1">
        <v>4</v>
      </c>
      <c r="C308" s="1">
        <v>4</v>
      </c>
      <c r="D308" s="908"/>
      <c r="E308" s="1112"/>
      <c r="F308" s="942" t="str">
        <f>IF(F304=$S$14,$T$12,IF(ROUNDDOWN(F304,0)=$S$12,$U$12,$T$12))</f>
        <v>　レベル　4</v>
      </c>
      <c r="G308" s="3385" t="s">
        <v>1516</v>
      </c>
      <c r="H308" s="3386"/>
      <c r="I308" s="3385" t="s">
        <v>1517</v>
      </c>
      <c r="J308" s="3386"/>
      <c r="K308" s="942" t="str">
        <f>IF(K304=$S$14,$T$12,IF(ROUNDDOWN(K304,0)=$S$12,$U$12,$T$12))</f>
        <v>　レベル　4</v>
      </c>
      <c r="L308" s="3419" t="s">
        <v>1517</v>
      </c>
      <c r="M308" s="3420"/>
      <c r="N308" s="3420"/>
      <c r="O308" s="3421"/>
    </row>
    <row r="309" spans="2:15" ht="42.75" customHeight="1">
      <c r="B309" s="1">
        <v>5</v>
      </c>
      <c r="C309" s="1">
        <v>5</v>
      </c>
      <c r="D309" s="908"/>
      <c r="E309" s="1112"/>
      <c r="F309" s="953" t="str">
        <f>IF(F304=$S$14,$T$13,IF(ROUNDDOWN(F304,0)=$S$13,$U$13,$T$13))</f>
        <v>　レベル　5</v>
      </c>
      <c r="G309" s="3383" t="s">
        <v>17</v>
      </c>
      <c r="H309" s="3384"/>
      <c r="I309" s="3383" t="s">
        <v>1518</v>
      </c>
      <c r="J309" s="3384"/>
      <c r="K309" s="953" t="str">
        <f>IF(K304=$S$14,$T$13,IF(ROUNDDOWN(K304,0)=$S$13,$U$13,$T$13))</f>
        <v>　レベル　5</v>
      </c>
      <c r="L309" s="3410" t="s">
        <v>1518</v>
      </c>
      <c r="M309" s="3430"/>
      <c r="N309" s="3430"/>
      <c r="O309" s="3431"/>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2906</v>
      </c>
      <c r="G311" s="996"/>
      <c r="H311" s="1045"/>
      <c r="I311" s="1025"/>
      <c r="J311" s="999" t="str">
        <f>IF(OR(F313=0,J312=0),$R$3,"")</f>
        <v>&lt;評価しない&gt;</v>
      </c>
      <c r="K311" s="1113"/>
      <c r="L311" s="1113"/>
      <c r="M311" s="1113"/>
      <c r="N311" s="1113"/>
      <c r="O311" s="1113"/>
    </row>
    <row r="312" spans="2:15" ht="15.75" hidden="1">
      <c r="B312" s="1114" t="s">
        <v>778</v>
      </c>
      <c r="D312" s="908"/>
      <c r="E312" s="1112"/>
      <c r="F312" s="923" t="s">
        <v>290</v>
      </c>
      <c r="G312" s="924"/>
      <c r="H312" s="925"/>
      <c r="I312" s="926" t="s">
        <v>1364</v>
      </c>
      <c r="J312" s="929">
        <f>重み!M43</f>
        <v>0</v>
      </c>
      <c r="K312" s="1113"/>
      <c r="L312" s="1113"/>
      <c r="M312" s="1113"/>
      <c r="N312" s="1113"/>
      <c r="O312" s="1113"/>
    </row>
    <row r="313" spans="2:15" ht="16.5" hidden="1" thickBot="1">
      <c r="D313" s="908"/>
      <c r="E313" s="1112"/>
      <c r="F313" s="930">
        <v>0</v>
      </c>
      <c r="G313" s="1046" t="s">
        <v>488</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381" t="s">
        <v>1519</v>
      </c>
      <c r="H314" s="3401"/>
      <c r="I314" s="3401"/>
      <c r="J314" s="3387"/>
      <c r="K314" s="1113"/>
      <c r="L314" s="1113"/>
      <c r="M314" s="1113"/>
      <c r="N314" s="1113"/>
      <c r="O314" s="1113"/>
    </row>
    <row r="315" spans="2:15" ht="15.75" hidden="1">
      <c r="B315" s="1" t="s">
        <v>2844</v>
      </c>
      <c r="C315" s="1">
        <v>2</v>
      </c>
      <c r="D315" s="908"/>
      <c r="E315" s="1112"/>
      <c r="F315" s="942" t="str">
        <f>IF(F313=$S$14,$T$10,IF(ROUNDDOWN(F313,0)=$S$10,$U$10,$T$10))</f>
        <v>　レベル　2</v>
      </c>
      <c r="G315" s="3419" t="s">
        <v>2178</v>
      </c>
      <c r="H315" s="3420"/>
      <c r="I315" s="3420"/>
      <c r="J315" s="3421"/>
      <c r="K315" s="1113"/>
      <c r="L315" s="1113"/>
      <c r="M315" s="1113"/>
      <c r="N315" s="1113"/>
      <c r="O315" s="1113"/>
    </row>
    <row r="316" spans="2:15" ht="15.75" hidden="1">
      <c r="B316" s="1">
        <v>3</v>
      </c>
      <c r="C316" s="1">
        <v>3</v>
      </c>
      <c r="D316" s="908"/>
      <c r="E316" s="1112"/>
      <c r="F316" s="942" t="str">
        <f>IF(F313=$S$14,$T$11,IF(ROUNDDOWN(F313,0)=$S$11,$U$11,$T$11))</f>
        <v>　レベル　3</v>
      </c>
      <c r="G316" s="3419" t="s">
        <v>1520</v>
      </c>
      <c r="H316" s="3420"/>
      <c r="I316" s="3420"/>
      <c r="J316" s="3421"/>
      <c r="K316" s="1113"/>
      <c r="L316" s="1113"/>
      <c r="M316" s="1113"/>
      <c r="N316" s="1113"/>
      <c r="O316" s="1113"/>
    </row>
    <row r="317" spans="2:15" ht="15.75" hidden="1">
      <c r="B317" s="1" t="s">
        <v>2844</v>
      </c>
      <c r="C317" s="1">
        <v>4</v>
      </c>
      <c r="D317" s="908"/>
      <c r="E317" s="1112"/>
      <c r="F317" s="942" t="str">
        <f>IF(F313=$S$14,$T$12,IF(ROUNDDOWN(F313,0)=$S$12,$U$12,$T$12))</f>
        <v>　レベル　4</v>
      </c>
      <c r="G317" s="3419" t="s">
        <v>2178</v>
      </c>
      <c r="H317" s="3420"/>
      <c r="I317" s="3420"/>
      <c r="J317" s="3421"/>
      <c r="K317" s="1113"/>
      <c r="L317" s="1113"/>
      <c r="M317" s="1113"/>
      <c r="N317" s="1113"/>
      <c r="O317" s="1113"/>
    </row>
    <row r="318" spans="2:15" ht="15.75" hidden="1">
      <c r="B318" s="1">
        <v>5</v>
      </c>
      <c r="C318" s="1">
        <v>5</v>
      </c>
      <c r="D318" s="908"/>
      <c r="E318" s="1112"/>
      <c r="F318" s="953" t="str">
        <f>IF(F313=$S$14,$T$13,IF(ROUNDDOWN(F313,0)=$S$13,$U$13,$T$13))</f>
        <v>　レベル　5</v>
      </c>
      <c r="G318" s="3410" t="s">
        <v>1521</v>
      </c>
      <c r="H318" s="3430"/>
      <c r="I318" s="3430"/>
      <c r="J318" s="3431"/>
      <c r="K318" s="1113"/>
      <c r="L318" s="1113"/>
      <c r="M318" s="1113"/>
      <c r="N318" s="1113"/>
      <c r="O318" s="1113"/>
    </row>
    <row r="319" spans="2:15" ht="15.75" hidden="1">
      <c r="B319" s="960">
        <v>0</v>
      </c>
      <c r="C319" s="960">
        <v>0</v>
      </c>
      <c r="D319" s="908"/>
      <c r="E319" s="1112"/>
      <c r="F319" s="1112"/>
      <c r="G319" s="1115" t="s">
        <v>489</v>
      </c>
      <c r="H319" s="1116"/>
      <c r="I319" s="1116"/>
      <c r="J319" s="1116"/>
      <c r="K319" s="1116"/>
      <c r="L319" s="1116"/>
      <c r="M319" s="1113"/>
      <c r="N319" s="1113"/>
      <c r="O319" s="1113"/>
    </row>
    <row r="320" spans="2:15" ht="15.75" hidden="1">
      <c r="D320" s="908"/>
      <c r="E320" s="1112"/>
      <c r="F320" s="1112"/>
      <c r="G320" s="1117" t="s">
        <v>490</v>
      </c>
      <c r="H320" s="1117" t="s">
        <v>1522</v>
      </c>
      <c r="I320" s="1118"/>
      <c r="J320" s="1118"/>
      <c r="K320" s="1118"/>
      <c r="L320" s="1119"/>
      <c r="M320" s="1113"/>
      <c r="N320" s="1113"/>
      <c r="O320" s="1113"/>
    </row>
    <row r="321" spans="2:15" ht="15.75" hidden="1">
      <c r="D321" s="908"/>
      <c r="E321" s="1112"/>
      <c r="F321" s="1112"/>
      <c r="G321" s="1117" t="s">
        <v>491</v>
      </c>
      <c r="H321" s="1117" t="s">
        <v>492</v>
      </c>
      <c r="I321" s="1118"/>
      <c r="J321" s="1118"/>
      <c r="K321" s="1118"/>
      <c r="L321" s="1119"/>
      <c r="M321" s="1113"/>
      <c r="N321" s="1113"/>
      <c r="O321" s="1113"/>
    </row>
    <row r="322" spans="2:15" ht="15.75" hidden="1">
      <c r="D322" s="908"/>
      <c r="E322" s="1112"/>
      <c r="F322" s="1112"/>
      <c r="G322" s="1117" t="s">
        <v>493</v>
      </c>
      <c r="H322" s="1117" t="s">
        <v>494</v>
      </c>
      <c r="I322" s="1118"/>
      <c r="J322" s="1118"/>
      <c r="K322" s="1118"/>
      <c r="L322" s="1119"/>
      <c r="M322" s="1113"/>
      <c r="N322" s="1113"/>
      <c r="O322" s="1113"/>
    </row>
    <row r="323" spans="2:15" ht="15.75" hidden="1">
      <c r="D323" s="908"/>
      <c r="E323" s="1112"/>
      <c r="F323" s="1112"/>
      <c r="G323" s="1117" t="s">
        <v>495</v>
      </c>
      <c r="H323" s="1117" t="s">
        <v>496</v>
      </c>
      <c r="I323" s="1117"/>
      <c r="J323" s="1118"/>
      <c r="K323" s="1118"/>
      <c r="L323" s="1119"/>
      <c r="M323" s="1113"/>
      <c r="N323" s="1113"/>
      <c r="O323" s="1113"/>
    </row>
    <row r="324" spans="2:15" ht="14.25">
      <c r="D324" s="2279"/>
      <c r="E324" s="1120"/>
      <c r="F324" s="916"/>
      <c r="G324" s="1043"/>
      <c r="H324" s="1044"/>
      <c r="I324" s="1044"/>
      <c r="J324" s="1044"/>
      <c r="K324" s="1044"/>
      <c r="L324" s="1043"/>
      <c r="M324" s="1044"/>
      <c r="N324" s="1044"/>
      <c r="O324" s="1113"/>
    </row>
    <row r="325" spans="2:15" ht="15.75">
      <c r="D325" s="1326">
        <v>3.3</v>
      </c>
      <c r="E325" s="1042" t="s">
        <v>991</v>
      </c>
      <c r="F325" s="1064"/>
      <c r="G325" s="996"/>
      <c r="H325" s="996"/>
      <c r="I325" s="1045"/>
      <c r="J325" s="999" t="str">
        <f>IF(OR(F327=0,AND(J326=0,O326=0)),$R$3,"")</f>
        <v/>
      </c>
      <c r="K325" s="1025"/>
      <c r="L325" s="1025"/>
      <c r="M325" s="995"/>
      <c r="N325" s="1025"/>
      <c r="O325" s="1025"/>
    </row>
    <row r="326" spans="2:15" ht="16.5" thickBot="1">
      <c r="D326" s="908"/>
      <c r="E326" s="913"/>
      <c r="F326" s="2253" t="s">
        <v>1523</v>
      </c>
      <c r="G326" s="1066"/>
      <c r="H326" s="1067"/>
      <c r="I326" s="926" t="s">
        <v>1364</v>
      </c>
      <c r="J326" s="924">
        <f>重み!M44</f>
        <v>0.15</v>
      </c>
      <c r="K326" s="1066"/>
      <c r="L326" s="1068"/>
      <c r="M326" s="2254" t="s">
        <v>1968</v>
      </c>
      <c r="N326" s="926" t="s">
        <v>1364</v>
      </c>
      <c r="O326" s="928">
        <f>重み!N44</f>
        <v>0</v>
      </c>
    </row>
    <row r="327" spans="2:15" ht="27" customHeight="1" thickBot="1">
      <c r="D327" s="908"/>
      <c r="E327" s="913"/>
      <c r="F327" s="930">
        <v>3</v>
      </c>
      <c r="G327" s="1046" t="s">
        <v>3064</v>
      </c>
      <c r="H327" s="936"/>
      <c r="I327" s="1051" t="s">
        <v>1524</v>
      </c>
      <c r="J327" s="1070" t="s">
        <v>1525</v>
      </c>
      <c r="K327" s="1070" t="s">
        <v>1526</v>
      </c>
      <c r="L327" s="1071" t="s">
        <v>1905</v>
      </c>
      <c r="M327" s="930">
        <v>3</v>
      </c>
      <c r="N327" s="1046" t="s">
        <v>1527</v>
      </c>
      <c r="O327" s="1072" t="s">
        <v>497</v>
      </c>
    </row>
    <row r="328" spans="2:15" ht="22.5" customHeight="1">
      <c r="B328" s="1">
        <v>1</v>
      </c>
      <c r="C328" s="1">
        <v>1</v>
      </c>
      <c r="D328" s="908"/>
      <c r="E328" s="913"/>
      <c r="F328" s="937" t="str">
        <f>IF(F327=$S$14,$T$9,IF(ROUNDDOWN(F327,0)=$S$9,$U$9,$T$9))</f>
        <v>　レベル　1</v>
      </c>
      <c r="G328" s="3381" t="s">
        <v>1833</v>
      </c>
      <c r="H328" s="3387"/>
      <c r="I328" s="1121" t="s">
        <v>1083</v>
      </c>
      <c r="J328" s="1003" t="s">
        <v>1084</v>
      </c>
      <c r="K328" s="1121" t="s">
        <v>1085</v>
      </c>
      <c r="L328" s="1121" t="s">
        <v>1085</v>
      </c>
      <c r="M328" s="937" t="str">
        <f>IF(M327=$S$14,$T$9,IF(ROUNDDOWN(M327,0)=$S$9,$U$9,$T$9))</f>
        <v>　レベル　1</v>
      </c>
      <c r="N328" s="938" t="s">
        <v>1086</v>
      </c>
      <c r="O328" s="1122" t="s">
        <v>1085</v>
      </c>
    </row>
    <row r="329" spans="2:15" ht="32.25" customHeight="1">
      <c r="B329" s="1">
        <v>2</v>
      </c>
      <c r="C329" s="1" t="s">
        <v>2842</v>
      </c>
      <c r="D329" s="908"/>
      <c r="E329" s="913"/>
      <c r="F329" s="942" t="str">
        <f>IF(F327=$S$14,$T$10,IF(ROUNDDOWN(F327,0)=$S$10,$U$10,$T$10))</f>
        <v>　レベル　2</v>
      </c>
      <c r="G329" s="3385" t="s">
        <v>16</v>
      </c>
      <c r="H329" s="3429"/>
      <c r="I329" s="1123" t="s">
        <v>2178</v>
      </c>
      <c r="J329" s="1123" t="s">
        <v>2178</v>
      </c>
      <c r="K329" s="1123" t="s">
        <v>2178</v>
      </c>
      <c r="L329" s="1123" t="s">
        <v>2178</v>
      </c>
      <c r="M329" s="942" t="str">
        <f>IF(M327=$S$14,$T$10,IF(ROUNDDOWN(M327,0)=$S$10,$U$10,$T$10))</f>
        <v>　レベル　2</v>
      </c>
      <c r="N329" s="1123" t="s">
        <v>2178</v>
      </c>
      <c r="O329" s="1123" t="s">
        <v>2178</v>
      </c>
    </row>
    <row r="330" spans="2:15" ht="91.5" customHeight="1">
      <c r="B330" s="1">
        <v>3</v>
      </c>
      <c r="C330" s="1">
        <v>3</v>
      </c>
      <c r="D330" s="908"/>
      <c r="E330" s="913"/>
      <c r="F330" s="942" t="str">
        <f>IF(F327=$S$14,$T$11,IF(ROUNDDOWN(F327,0)=$S$11,$U$11,$T$11))</f>
        <v>■レベル　3</v>
      </c>
      <c r="G330" s="3385" t="s">
        <v>370</v>
      </c>
      <c r="H330" s="3429"/>
      <c r="I330" s="1124" t="s">
        <v>1087</v>
      </c>
      <c r="J330" s="945" t="s">
        <v>1088</v>
      </c>
      <c r="K330" s="1124" t="s">
        <v>1089</v>
      </c>
      <c r="L330" s="1124" t="s">
        <v>1089</v>
      </c>
      <c r="M330" s="942" t="str">
        <f>IF(M327=$S$14,$T$11,IF(ROUNDDOWN(M327,0)=$S$11,$U$11,$T$11))</f>
        <v>■レベル　3</v>
      </c>
      <c r="N330" s="945" t="s">
        <v>1088</v>
      </c>
      <c r="O330" s="949" t="s">
        <v>1089</v>
      </c>
    </row>
    <row r="331" spans="2:15" ht="99.75" customHeight="1">
      <c r="B331" s="1">
        <v>4</v>
      </c>
      <c r="C331" s="1">
        <v>4</v>
      </c>
      <c r="D331" s="908"/>
      <c r="E331" s="913"/>
      <c r="F331" s="942" t="str">
        <f>IF(F327=$S$14,$T$12,IF(ROUNDDOWN(F327,0)=$S$12,$U$12,$T$12))</f>
        <v>　レベル　4</v>
      </c>
      <c r="G331" s="3385" t="s">
        <v>369</v>
      </c>
      <c r="H331" s="3429"/>
      <c r="I331" s="1125" t="s">
        <v>1090</v>
      </c>
      <c r="J331" s="950" t="s">
        <v>498</v>
      </c>
      <c r="K331" s="1123" t="s">
        <v>2178</v>
      </c>
      <c r="L331" s="1125" t="s">
        <v>499</v>
      </c>
      <c r="M331" s="942" t="str">
        <f>IF(M327=$S$14,$T$12,IF(ROUNDDOWN(M327,0)=$S$12,$U$12,$T$12))</f>
        <v>　レベル　4</v>
      </c>
      <c r="N331" s="945" t="s">
        <v>499</v>
      </c>
      <c r="O331" s="1123" t="s">
        <v>2178</v>
      </c>
    </row>
    <row r="332" spans="2:15" ht="115.5" customHeight="1">
      <c r="B332" s="1">
        <v>5</v>
      </c>
      <c r="C332" s="1">
        <v>5</v>
      </c>
      <c r="D332" s="908"/>
      <c r="E332" s="913"/>
      <c r="F332" s="953" t="str">
        <f>IF(F327=$S$14,$T$13,IF(ROUNDDOWN(F327,0)=$S$13,$U$13,$T$13))</f>
        <v>　レベル　5</v>
      </c>
      <c r="G332" s="3383" t="s">
        <v>3392</v>
      </c>
      <c r="H332" s="3413"/>
      <c r="I332" s="1126" t="s">
        <v>2178</v>
      </c>
      <c r="J332" s="1126" t="s">
        <v>2178</v>
      </c>
      <c r="K332" s="1126" t="s">
        <v>2178</v>
      </c>
      <c r="L332" s="1126" t="s">
        <v>2178</v>
      </c>
      <c r="M332" s="953" t="str">
        <f>IF(M327=$S$14,$T$13,IF(ROUNDDOWN(M327,0)=$S$13,$U$13,$T$13))</f>
        <v>　レベル　5</v>
      </c>
      <c r="N332" s="1126" t="s">
        <v>2178</v>
      </c>
      <c r="O332" s="1090" t="s">
        <v>2863</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2864</v>
      </c>
      <c r="G334" s="1128"/>
      <c r="H334" s="1129"/>
      <c r="I334" s="1130" t="s">
        <v>1364</v>
      </c>
      <c r="J334" s="928">
        <f>重み!M46</f>
        <v>0</v>
      </c>
      <c r="K334" s="1025"/>
      <c r="L334" s="1128"/>
      <c r="M334" s="1129"/>
      <c r="N334" s="1130" t="s">
        <v>1364</v>
      </c>
      <c r="O334" s="928">
        <f>重み!N46</f>
        <v>0</v>
      </c>
    </row>
    <row r="335" spans="2:15" ht="15.75" hidden="1">
      <c r="D335" s="908"/>
      <c r="E335" s="1112"/>
      <c r="F335" s="3448">
        <v>3</v>
      </c>
      <c r="G335" s="1131" t="s">
        <v>2019</v>
      </c>
      <c r="H335" s="925"/>
      <c r="I335" s="925"/>
      <c r="J335" s="1131"/>
      <c r="K335" s="3448">
        <v>3</v>
      </c>
      <c r="L335" s="1132" t="s">
        <v>1968</v>
      </c>
      <c r="M335" s="1052"/>
      <c r="N335" s="935"/>
      <c r="O335" s="936"/>
    </row>
    <row r="336" spans="2:15" ht="16.5" hidden="1" thickBot="1">
      <c r="D336" s="908"/>
      <c r="E336" s="1112"/>
      <c r="F336" s="3449"/>
      <c r="G336" s="1046" t="s">
        <v>2865</v>
      </c>
      <c r="H336" s="936"/>
      <c r="I336" s="1046"/>
      <c r="J336" s="1051"/>
      <c r="K336" s="3449"/>
      <c r="L336" s="1046" t="s">
        <v>1091</v>
      </c>
      <c r="M336" s="936"/>
      <c r="N336" s="1046"/>
      <c r="O336" s="1051"/>
    </row>
    <row r="337" spans="2:15" ht="15.75" hidden="1" customHeight="1">
      <c r="D337" s="908"/>
      <c r="E337" s="1112"/>
      <c r="F337" s="1133" t="str">
        <f>IF(F335=$S$14,$T$9,IF(ROUNDDOWN(F335,0)=$S$9,$U$9,$T$9))</f>
        <v>　レベル　1</v>
      </c>
      <c r="G337" s="3381" t="s">
        <v>1896</v>
      </c>
      <c r="H337" s="3401"/>
      <c r="I337" s="3401"/>
      <c r="J337" s="3387"/>
      <c r="K337" s="937" t="str">
        <f>IF(K335=$S$14,$T$9,IF(ROUNDDOWN(K335,0)=$S$9,$U$9,$T$9))</f>
        <v>　レベル　1</v>
      </c>
      <c r="L337" s="3381" t="s">
        <v>1896</v>
      </c>
      <c r="M337" s="3401"/>
      <c r="N337" s="3401"/>
      <c r="O337" s="3387"/>
    </row>
    <row r="338" spans="2:15" ht="15.75" hidden="1" customHeight="1">
      <c r="D338" s="908"/>
      <c r="E338" s="1112"/>
      <c r="F338" s="1134" t="str">
        <f>IF(F335=$S$14,$T$10,IF(ROUNDDOWN(F335,0)=$S$10,$U$10,$T$10))</f>
        <v>　レベル　2</v>
      </c>
      <c r="G338" s="3419" t="s">
        <v>2428</v>
      </c>
      <c r="H338" s="3420"/>
      <c r="I338" s="3420"/>
      <c r="J338" s="3421"/>
      <c r="K338" s="942" t="str">
        <f>IF(K335=$S$14,$T$10,IF(ROUNDDOWN(K335,0)=$S$10,$U$10,$T$10))</f>
        <v>　レベル　2</v>
      </c>
      <c r="L338" s="3419" t="s">
        <v>2428</v>
      </c>
      <c r="M338" s="3420"/>
      <c r="N338" s="3420"/>
      <c r="O338" s="3421"/>
    </row>
    <row r="339" spans="2:15" ht="15.75" hidden="1" customHeight="1">
      <c r="D339" s="908"/>
      <c r="E339" s="1112"/>
      <c r="F339" s="1134" t="str">
        <f>IF(F335=$S$14,$T$11,IF(ROUNDDOWN(F335,0)=$S$11,$U$11,$T$11))</f>
        <v>■レベル　3</v>
      </c>
      <c r="G339" s="3419" t="s">
        <v>2866</v>
      </c>
      <c r="H339" s="3420"/>
      <c r="I339" s="3420"/>
      <c r="J339" s="3421"/>
      <c r="K339" s="942" t="str">
        <f>IF(K335=$S$14,$T$11,IF(ROUNDDOWN(K335,0)=$S$11,$U$11,$T$11))</f>
        <v>■レベル　3</v>
      </c>
      <c r="L339" s="3419" t="s">
        <v>2866</v>
      </c>
      <c r="M339" s="3420"/>
      <c r="N339" s="3420"/>
      <c r="O339" s="3421"/>
    </row>
    <row r="340" spans="2:15" ht="15.75" hidden="1">
      <c r="D340" s="908"/>
      <c r="E340" s="1112"/>
      <c r="F340" s="1134" t="str">
        <f>IF(F335=$S$14,$T$12,IF(ROUNDDOWN(F335,0)=$S$12,$U$12,$T$12))</f>
        <v>　レベル　4</v>
      </c>
      <c r="G340" s="3419" t="s">
        <v>2429</v>
      </c>
      <c r="H340" s="3420"/>
      <c r="I340" s="3420"/>
      <c r="J340" s="3421"/>
      <c r="K340" s="942" t="str">
        <f>IF(K335=$S$14,$T$12,IF(ROUNDDOWN(K335,0)=$S$12,$U$12,$T$12))</f>
        <v>　レベル　4</v>
      </c>
      <c r="L340" s="3419" t="s">
        <v>2429</v>
      </c>
      <c r="M340" s="3420"/>
      <c r="N340" s="3420"/>
      <c r="O340" s="3421"/>
    </row>
    <row r="341" spans="2:15" ht="15.75" hidden="1" customHeight="1">
      <c r="D341" s="908"/>
      <c r="E341" s="1112"/>
      <c r="F341" s="1135" t="str">
        <f>IF(F335=$S$14,$T$13,IF(ROUNDDOWN(F335,0)=$S$13,$U$13,$T$13))</f>
        <v>　レベル　5</v>
      </c>
      <c r="G341" s="3410" t="s">
        <v>2867</v>
      </c>
      <c r="H341" s="3430"/>
      <c r="I341" s="3430"/>
      <c r="J341" s="3431"/>
      <c r="K341" s="953" t="str">
        <f>IF(K335=$S$14,$T$13,IF(ROUNDDOWN(K335,0)=$S$13,$U$13,$T$13))</f>
        <v>　レベル　5</v>
      </c>
      <c r="L341" s="3410" t="s">
        <v>2867</v>
      </c>
      <c r="M341" s="3430"/>
      <c r="N341" s="3430"/>
      <c r="O341" s="3431"/>
    </row>
    <row r="342" spans="2:15" ht="15.75">
      <c r="D342" s="908"/>
      <c r="E342" s="1112"/>
      <c r="F342" s="1112"/>
      <c r="G342" s="1113"/>
      <c r="H342" s="1113"/>
      <c r="I342" s="1113"/>
      <c r="J342" s="1113"/>
      <c r="K342" s="1127"/>
      <c r="L342" s="1113"/>
      <c r="M342" s="1113"/>
      <c r="N342" s="1113"/>
      <c r="O342" s="1113"/>
    </row>
    <row r="343" spans="2:15" ht="15.75">
      <c r="D343" s="1326">
        <v>3.4</v>
      </c>
      <c r="E343" s="915" t="s">
        <v>993</v>
      </c>
      <c r="F343" s="919"/>
      <c r="G343" s="996"/>
      <c r="H343" s="1045"/>
      <c r="I343" s="1025"/>
      <c r="J343" s="999" t="str">
        <f>IF(OR(F345=0,AND(J344=0,O344=0)),$R$3,"")</f>
        <v/>
      </c>
      <c r="K343" s="1084"/>
      <c r="L343" s="996"/>
      <c r="M343" s="1045"/>
      <c r="N343" s="1025"/>
      <c r="O343" s="999"/>
    </row>
    <row r="344" spans="2:15" ht="16.5" thickBot="1">
      <c r="D344" s="908"/>
      <c r="E344" s="904"/>
      <c r="F344" s="923" t="s">
        <v>1323</v>
      </c>
      <c r="G344" s="924"/>
      <c r="H344" s="925"/>
      <c r="I344" s="926" t="s">
        <v>1364</v>
      </c>
      <c r="J344" s="929">
        <f>重み!M47</f>
        <v>0.25</v>
      </c>
      <c r="K344" s="923" t="s">
        <v>1968</v>
      </c>
      <c r="L344" s="924"/>
      <c r="M344" s="925"/>
      <c r="N344" s="926" t="s">
        <v>1364</v>
      </c>
      <c r="O344" s="929">
        <f>重み!N47</f>
        <v>0</v>
      </c>
    </row>
    <row r="345" spans="2:15" ht="23.25" thickBot="1">
      <c r="D345" s="908"/>
      <c r="E345" s="904"/>
      <c r="F345" s="930">
        <v>3</v>
      </c>
      <c r="G345" s="2441" t="s">
        <v>3065</v>
      </c>
      <c r="H345" s="2442"/>
      <c r="I345" s="2448" t="s">
        <v>1365</v>
      </c>
      <c r="J345" s="2450" t="s">
        <v>1325</v>
      </c>
      <c r="K345" s="930">
        <v>3</v>
      </c>
      <c r="L345" s="1046" t="s">
        <v>2430</v>
      </c>
      <c r="M345" s="936"/>
      <c r="N345" s="1046" t="s">
        <v>497</v>
      </c>
      <c r="O345" s="1051"/>
    </row>
    <row r="346" spans="2:15" ht="15.75" hidden="1" customHeight="1">
      <c r="B346" s="1">
        <v>1</v>
      </c>
      <c r="C346" s="1">
        <v>1</v>
      </c>
      <c r="D346" s="908"/>
      <c r="E346" s="904"/>
      <c r="F346" s="1085"/>
      <c r="G346" s="1046" t="s">
        <v>1266</v>
      </c>
      <c r="H346" s="935"/>
      <c r="I346" s="2439"/>
      <c r="J346" s="2445" t="s">
        <v>3067</v>
      </c>
      <c r="K346" s="1085"/>
      <c r="L346" s="935" t="s">
        <v>1266</v>
      </c>
      <c r="M346" s="1052"/>
      <c r="N346" s="1052"/>
      <c r="O346" s="1053"/>
    </row>
    <row r="347" spans="2:15" ht="36.75" hidden="1" customHeight="1">
      <c r="B347" s="1" t="s">
        <v>2842</v>
      </c>
      <c r="C347" s="1" t="s">
        <v>2842</v>
      </c>
      <c r="D347" s="908"/>
      <c r="E347" s="904"/>
      <c r="F347" s="942" t="str">
        <f>IF(F345=$S$14,$T$9,IF(AND($O$3=$U$3,ROUNDDOWN(F345,0)=$S$9),$U$9,$T$9))</f>
        <v>　レベル　1</v>
      </c>
      <c r="G347" s="3381" t="s">
        <v>2431</v>
      </c>
      <c r="H347" s="3401"/>
      <c r="I347" s="1003" t="s">
        <v>2868</v>
      </c>
      <c r="J347" s="2446"/>
      <c r="K347" s="942" t="str">
        <f>IF(K345=$S$14,$T$9,IF(AND($O$3=$U$3,ROUNDDOWN(K345,0)=$S$9),$U$9,$T$9))</f>
        <v>　レベル　1</v>
      </c>
      <c r="L347" s="3381" t="s">
        <v>2869</v>
      </c>
      <c r="M347" s="3387"/>
      <c r="N347" s="3381" t="s">
        <v>2869</v>
      </c>
      <c r="O347" s="3399"/>
    </row>
    <row r="348" spans="2:15" ht="15.75" hidden="1" customHeight="1">
      <c r="B348" s="1">
        <v>3</v>
      </c>
      <c r="C348" s="1">
        <v>3</v>
      </c>
      <c r="D348" s="908"/>
      <c r="E348" s="904"/>
      <c r="F348" s="942" t="str">
        <f>IF(F345=$S$14,$T$10,IF(AND($O$3=$U$3,ROUNDDOWN(F345,0)=$S$10),$U$10,$T$10))</f>
        <v>　レベル　2</v>
      </c>
      <c r="G348" s="3385" t="s">
        <v>2178</v>
      </c>
      <c r="H348" s="3402"/>
      <c r="I348" s="2438" t="s">
        <v>2178</v>
      </c>
      <c r="J348" s="2446"/>
      <c r="K348" s="942" t="str">
        <f>IF(K345=$S$14,$T$10,IF(AND($O$3=$U$3,ROUNDDOWN(K345,0)=$S$10),$U$10,$T$10))</f>
        <v>　レベル　2</v>
      </c>
      <c r="L348" s="3385" t="s">
        <v>2178</v>
      </c>
      <c r="M348" s="3386"/>
      <c r="N348" s="3385" t="s">
        <v>2178</v>
      </c>
      <c r="O348" s="3386"/>
    </row>
    <row r="349" spans="2:15" ht="42" hidden="1" customHeight="1">
      <c r="B349" s="1" t="s">
        <v>2842</v>
      </c>
      <c r="C349" s="1" t="s">
        <v>2842</v>
      </c>
      <c r="D349" s="908"/>
      <c r="E349" s="904"/>
      <c r="F349" s="942" t="str">
        <f>IF(F345=$S$14,$T$11,IF(AND($O$3=$U$3,ROUNDDOWN(F345,0)=$S$11),$U$11,$T$11))</f>
        <v>　レベル　3</v>
      </c>
      <c r="G349" s="3385" t="s">
        <v>2432</v>
      </c>
      <c r="H349" s="3402"/>
      <c r="I349" s="2438" t="s">
        <v>2433</v>
      </c>
      <c r="J349" s="2446"/>
      <c r="K349" s="942" t="str">
        <f>IF(K345=$S$14,$T$11,IF(AND($O$3=$U$3,ROUNDDOWN(K345,0)=$S$11),$U$11,$T$11))</f>
        <v>　レベル　3</v>
      </c>
      <c r="L349" s="3385" t="s">
        <v>2870</v>
      </c>
      <c r="M349" s="3386"/>
      <c r="N349" s="3385" t="s">
        <v>2871</v>
      </c>
      <c r="O349" s="3386"/>
    </row>
    <row r="350" spans="2:15" ht="15.75" hidden="1" customHeight="1">
      <c r="B350" s="1">
        <v>5</v>
      </c>
      <c r="C350" s="1">
        <v>5</v>
      </c>
      <c r="D350" s="908"/>
      <c r="E350" s="904"/>
      <c r="F350" s="942" t="str">
        <f>IF(F345=$S$14,$T$12,IF(AND($O$3=$U$3,ROUNDDOWN(F345,0)=$S$12),$U$12,$T$12))</f>
        <v>　レベル　4</v>
      </c>
      <c r="G350" s="3385" t="s">
        <v>2178</v>
      </c>
      <c r="H350" s="3402"/>
      <c r="I350" s="2438" t="s">
        <v>2178</v>
      </c>
      <c r="J350" s="2447"/>
      <c r="K350" s="942" t="str">
        <f>IF(K345=$S$14,$T$12,IF(AND($O$3=$U$3,ROUNDDOWN(K345,0)=$S$12),$U$12,$T$12))</f>
        <v>　レベル　4</v>
      </c>
      <c r="L350" s="3385" t="s">
        <v>2178</v>
      </c>
      <c r="M350" s="3386"/>
      <c r="N350" s="3385" t="s">
        <v>2178</v>
      </c>
      <c r="O350" s="3386"/>
    </row>
    <row r="351" spans="2:15" ht="45" hidden="1" customHeight="1">
      <c r="B351" s="960">
        <v>0</v>
      </c>
      <c r="C351" s="960">
        <v>0</v>
      </c>
      <c r="D351" s="908"/>
      <c r="E351" s="904"/>
      <c r="F351" s="953" t="str">
        <f>IF(F345=$S$14,$T$13,IF(AND($O$3=$U$3,ROUNDDOWN(F345,0)=$S$13),$U$13,$T$13))</f>
        <v>　レベル　5</v>
      </c>
      <c r="G351" s="3383" t="s">
        <v>2434</v>
      </c>
      <c r="H351" s="3407"/>
      <c r="I351" s="2436" t="s">
        <v>2115</v>
      </c>
      <c r="J351" s="2437"/>
      <c r="K351" s="953" t="str">
        <f>IF(K345=$S$14,$T$13,IF(AND($O$3=$U$3,ROUNDDOWN(K345,0)=$S$13),$U$13,$T$13))</f>
        <v>　レベル　5</v>
      </c>
      <c r="L351" s="3383" t="s">
        <v>2872</v>
      </c>
      <c r="M351" s="3384"/>
      <c r="N351" s="3383" t="s">
        <v>2873</v>
      </c>
      <c r="O351" s="3384"/>
    </row>
    <row r="352" spans="2:15" ht="15.75" hidden="1" customHeight="1">
      <c r="D352" s="908"/>
      <c r="E352" s="904"/>
      <c r="F352" s="1048"/>
      <c r="G352" s="1046" t="s">
        <v>1265</v>
      </c>
      <c r="H352" s="936"/>
      <c r="I352" s="2449"/>
      <c r="J352" s="2451"/>
      <c r="K352" s="1048"/>
      <c r="L352" s="1067" t="s">
        <v>1265</v>
      </c>
      <c r="M352" s="1067"/>
      <c r="N352" s="1046"/>
      <c r="O352" s="936"/>
    </row>
    <row r="353" spans="2:15" ht="49.5" customHeight="1">
      <c r="D353" s="908"/>
      <c r="E353" s="904"/>
      <c r="F353" s="1049" t="str">
        <f>IF(F345=$S$14,$T$9,IF(AND($O$3&lt;&gt;$U$3,ROUNDDOWN(F345,0)=$S$9),$U$9,$T$9))</f>
        <v>　レベル　1</v>
      </c>
      <c r="G353" s="3381" t="s">
        <v>2435</v>
      </c>
      <c r="H353" s="3399"/>
      <c r="I353" s="1003" t="s">
        <v>2436</v>
      </c>
      <c r="J353" s="3450" t="s">
        <v>3068</v>
      </c>
      <c r="K353" s="1049" t="str">
        <f>IF(K345=$S$14,$T$9,IF(AND($O$3&lt;&gt;$U$3,ROUNDDOWN(K345,0)=$S$9),$U$9,$T$9))</f>
        <v>　レベル　1</v>
      </c>
      <c r="L353" s="3381" t="s">
        <v>2869</v>
      </c>
      <c r="M353" s="3387"/>
      <c r="N353" s="3381" t="s">
        <v>2437</v>
      </c>
      <c r="O353" s="3399"/>
    </row>
    <row r="354" spans="2:15" ht="23.25" customHeight="1">
      <c r="D354" s="908"/>
      <c r="E354" s="904"/>
      <c r="F354" s="942" t="str">
        <f>IF(F345=$S$14,$T$10,IF(AND($O$3&lt;&gt;$U$3,ROUNDDOWN(F345,0)=$S$10),$U$10,$T$10))</f>
        <v>　レベル　2</v>
      </c>
      <c r="G354" s="3385" t="s">
        <v>2178</v>
      </c>
      <c r="H354" s="3386"/>
      <c r="I354" s="2452" t="s">
        <v>2178</v>
      </c>
      <c r="J354" s="3451"/>
      <c r="K354" s="942" t="str">
        <f>IF(K345=$S$14,$T$10,IF(AND($O$3&lt;&gt;$U$3,ROUNDDOWN(K345,0)=$S$10),$U$10,$T$10))</f>
        <v>　レベル　2</v>
      </c>
      <c r="L354" s="3385" t="s">
        <v>2178</v>
      </c>
      <c r="M354" s="3386"/>
      <c r="N354" s="3385" t="s">
        <v>2178</v>
      </c>
      <c r="O354" s="3386"/>
    </row>
    <row r="355" spans="2:15" ht="77.25" customHeight="1">
      <c r="D355" s="908"/>
      <c r="E355" s="904"/>
      <c r="F355" s="942" t="str">
        <f>IF(F345=$S$14,$T$11,IF(AND($O$3&lt;&gt;$U$3,ROUNDDOWN(F345,0)=$S$11),$U$11,$T$11))</f>
        <v>■レベル　3</v>
      </c>
      <c r="G355" s="3385" t="s">
        <v>2874</v>
      </c>
      <c r="H355" s="3386"/>
      <c r="I355" s="2438" t="s">
        <v>3393</v>
      </c>
      <c r="J355" s="3451"/>
      <c r="K355" s="942" t="str">
        <f>IF(K345=$S$14,$T$11,IF(AND($O$3&lt;&gt;$U$3,ROUNDDOWN(K345,0)=$S$11),$U$11,$T$11))</f>
        <v>■レベル　3</v>
      </c>
      <c r="L355" s="3385" t="s">
        <v>220</v>
      </c>
      <c r="M355" s="3386"/>
      <c r="N355" s="3385" t="s">
        <v>2114</v>
      </c>
      <c r="O355" s="3386"/>
    </row>
    <row r="356" spans="2:15" ht="15.75" customHeight="1">
      <c r="D356" s="908"/>
      <c r="E356" s="904"/>
      <c r="F356" s="942" t="str">
        <f>IF(F345=$S$14,$T$12,IF(AND($O$3&lt;&gt;$U$3,ROUNDDOWN(F345,0)=$S$12),$U$12,$T$12))</f>
        <v>　レベル　4</v>
      </c>
      <c r="G356" s="3385" t="s">
        <v>2178</v>
      </c>
      <c r="H356" s="3386"/>
      <c r="I356" s="2452" t="s">
        <v>2178</v>
      </c>
      <c r="J356" s="3451"/>
      <c r="K356" s="942" t="str">
        <f>IF(K345=$S$14,$T$12,IF(AND($O$3&lt;&gt;$U$3,ROUNDDOWN(K345,0)=$S$12),$U$12,$T$12))</f>
        <v>　レベル　4</v>
      </c>
      <c r="L356" s="3385" t="s">
        <v>2178</v>
      </c>
      <c r="M356" s="3386"/>
      <c r="N356" s="3385" t="s">
        <v>2178</v>
      </c>
      <c r="O356" s="3386"/>
    </row>
    <row r="357" spans="2:15" ht="56.25" customHeight="1">
      <c r="D357" s="908"/>
      <c r="E357" s="904"/>
      <c r="F357" s="953" t="str">
        <f>IF(F345=$S$14,$T$13,IF(AND($O$3&lt;&gt;$U$3,ROUNDDOWN(F345,0)=$S$13),$U$13,$T$13))</f>
        <v>　レベル　5</v>
      </c>
      <c r="G357" s="3383" t="s">
        <v>1982</v>
      </c>
      <c r="H357" s="3384"/>
      <c r="I357" s="2436" t="s">
        <v>2115</v>
      </c>
      <c r="J357" s="2447"/>
      <c r="K357" s="953" t="str">
        <f>IF(K345=$S$14,$T$13,IF(AND($O$3&lt;&gt;$U$3,ROUNDDOWN(K345,0)=$S$13),$U$13,$T$13))</f>
        <v>　レベル　5</v>
      </c>
      <c r="L357" s="3383" t="s">
        <v>2872</v>
      </c>
      <c r="M357" s="3384"/>
      <c r="N357" s="3383" t="s">
        <v>1983</v>
      </c>
      <c r="O357" s="3384"/>
    </row>
    <row r="358" spans="2:15" ht="15.75">
      <c r="D358" s="908"/>
      <c r="E358" s="1112"/>
      <c r="F358" s="1112"/>
      <c r="G358" s="1113"/>
      <c r="H358" s="1113"/>
      <c r="I358" s="1113"/>
      <c r="J358" s="1113"/>
      <c r="K358" s="1113"/>
      <c r="L358" s="1113"/>
      <c r="M358" s="1113"/>
      <c r="N358" s="1113"/>
      <c r="O358" s="1113"/>
    </row>
    <row r="359" spans="2:15" ht="15.75">
      <c r="D359" s="1326">
        <v>4</v>
      </c>
      <c r="E359" s="1042" t="s">
        <v>994</v>
      </c>
      <c r="F359" s="1042"/>
      <c r="G359" s="1044"/>
      <c r="H359" s="1044"/>
      <c r="I359" s="1044"/>
      <c r="J359" s="1044"/>
      <c r="K359" s="1044"/>
      <c r="L359" s="1044"/>
      <c r="M359" s="1044"/>
      <c r="N359" s="1044"/>
      <c r="O359" s="1044"/>
    </row>
    <row r="360" spans="2:15" ht="15.75">
      <c r="D360" s="1326">
        <v>4.0999999999999996</v>
      </c>
      <c r="E360" s="1042" t="s">
        <v>1984</v>
      </c>
      <c r="F360" s="916"/>
      <c r="G360" s="1043"/>
      <c r="H360" s="1044"/>
      <c r="I360" s="1044"/>
      <c r="J360" s="1044"/>
      <c r="K360" s="1044"/>
      <c r="L360" s="1044"/>
      <c r="M360" s="1044"/>
      <c r="N360" s="1044"/>
      <c r="O360" s="1044"/>
    </row>
    <row r="361" spans="2:15" ht="15.75">
      <c r="D361" s="908"/>
      <c r="E361" s="913"/>
      <c r="F361" s="919" t="s">
        <v>1985</v>
      </c>
      <c r="G361" s="996"/>
      <c r="H361" s="1045"/>
      <c r="I361" s="1025"/>
      <c r="J361" s="999" t="str">
        <f>IF(OR(F363=0,AND(J362=0,O362=0)),$R$3,"")</f>
        <v/>
      </c>
      <c r="K361" s="1084"/>
      <c r="L361" s="996"/>
      <c r="M361" s="1045"/>
      <c r="N361" s="1025"/>
      <c r="O361" s="999"/>
    </row>
    <row r="362" spans="2:15" ht="16.5" thickBot="1">
      <c r="D362" s="908"/>
      <c r="E362" s="913"/>
      <c r="F362" s="923" t="s">
        <v>1499</v>
      </c>
      <c r="G362" s="924"/>
      <c r="H362" s="925"/>
      <c r="I362" s="926" t="s">
        <v>1364</v>
      </c>
      <c r="J362" s="929">
        <f>重み!M50</f>
        <v>1</v>
      </c>
      <c r="K362" s="923" t="s">
        <v>1968</v>
      </c>
      <c r="L362" s="924"/>
      <c r="M362" s="925"/>
      <c r="N362" s="926" t="s">
        <v>1364</v>
      </c>
      <c r="O362" s="929">
        <f>重み!N50</f>
        <v>0</v>
      </c>
    </row>
    <row r="363" spans="2:15" ht="27" customHeight="1" thickBot="1">
      <c r="D363" s="908"/>
      <c r="E363" s="913"/>
      <c r="F363" s="930">
        <v>3</v>
      </c>
      <c r="G363" s="1046" t="s">
        <v>1986</v>
      </c>
      <c r="H363" s="936"/>
      <c r="I363" s="1136" t="s">
        <v>1500</v>
      </c>
      <c r="J363" s="1137"/>
      <c r="K363" s="930">
        <v>3</v>
      </c>
      <c r="L363" s="1046" t="s">
        <v>1987</v>
      </c>
      <c r="M363" s="936"/>
      <c r="N363" s="1046"/>
      <c r="O363" s="1051"/>
    </row>
    <row r="364" spans="2:15" ht="19.5" customHeight="1">
      <c r="B364" s="1" t="s">
        <v>2177</v>
      </c>
      <c r="C364" s="1" t="s">
        <v>2177</v>
      </c>
      <c r="D364" s="908"/>
      <c r="E364" s="913"/>
      <c r="F364" s="937" t="str">
        <f>IF(F363=$S$14,$T$9,IF(ROUNDDOWN(F363,0)=$S$9,$U$9,$T$9))</f>
        <v>　レベル　1</v>
      </c>
      <c r="G364" s="3381" t="s">
        <v>2178</v>
      </c>
      <c r="H364" s="3399"/>
      <c r="I364" s="3452" t="s">
        <v>451</v>
      </c>
      <c r="J364" s="3453"/>
      <c r="K364" s="937" t="str">
        <f>IF(K363=$S$14,$T$9,IF(ROUNDDOWN(K363,0)=$S$9,$U$9,$T$9))</f>
        <v>　レベル　1</v>
      </c>
      <c r="L364" s="3385" t="s">
        <v>2178</v>
      </c>
      <c r="M364" s="3391"/>
      <c r="N364" s="3391"/>
      <c r="O364" s="3386"/>
    </row>
    <row r="365" spans="2:15" ht="19.5" customHeight="1">
      <c r="B365" s="1" t="s">
        <v>2177</v>
      </c>
      <c r="C365" s="1" t="s">
        <v>2177</v>
      </c>
      <c r="D365" s="908"/>
      <c r="E365" s="913"/>
      <c r="F365" s="942" t="str">
        <f>IF(F363=$S$14,$T$10,IF(ROUNDDOWN(F363,0)=$S$10,$U$10,$T$10))</f>
        <v>　レベル　2</v>
      </c>
      <c r="G365" s="3385" t="s">
        <v>2178</v>
      </c>
      <c r="H365" s="3386"/>
      <c r="I365" s="3452" t="s">
        <v>2178</v>
      </c>
      <c r="J365" s="3454"/>
      <c r="K365" s="942" t="str">
        <f>IF(K363=$S$14,$T$10,IF(ROUNDDOWN(K363,0)=$S$10,$U$10,$T$10))</f>
        <v>　レベル　2</v>
      </c>
      <c r="L365" s="3385" t="s">
        <v>2178</v>
      </c>
      <c r="M365" s="3402"/>
      <c r="N365" s="3402"/>
      <c r="O365" s="3429"/>
    </row>
    <row r="366" spans="2:15" ht="27" customHeight="1">
      <c r="B366" s="1">
        <v>3</v>
      </c>
      <c r="C366" s="1">
        <v>3</v>
      </c>
      <c r="D366" s="908"/>
      <c r="E366" s="913"/>
      <c r="F366" s="942" t="str">
        <f>IF(F363=$S$14,$T$11,IF(ROUNDDOWN(F363,0)=$S$11,$U$11,$T$11))</f>
        <v>■レベル　3</v>
      </c>
      <c r="G366" s="3385" t="s">
        <v>1989</v>
      </c>
      <c r="H366" s="3386"/>
      <c r="I366" s="3452" t="s">
        <v>1990</v>
      </c>
      <c r="J366" s="3453"/>
      <c r="K366" s="942" t="str">
        <f>IF(K363=$S$14,$T$11,IF(ROUNDDOWN(K363,0)=$S$11,$U$11,$T$11))</f>
        <v>■レベル　3</v>
      </c>
      <c r="L366" s="3385" t="s">
        <v>1989</v>
      </c>
      <c r="M366" s="3391"/>
      <c r="N366" s="3391"/>
      <c r="O366" s="3386"/>
    </row>
    <row r="367" spans="2:15" ht="93.75" customHeight="1">
      <c r="B367" s="1">
        <v>4</v>
      </c>
      <c r="C367" s="1">
        <v>4</v>
      </c>
      <c r="D367" s="908"/>
      <c r="E367" s="913"/>
      <c r="F367" s="942" t="str">
        <f>IF(F363=$S$14,$T$12,IF(ROUNDDOWN(F363,0)=$S$12,$U$12,$T$12))</f>
        <v>　レベル　4</v>
      </c>
      <c r="G367" s="3385" t="s">
        <v>1991</v>
      </c>
      <c r="H367" s="3386"/>
      <c r="I367" s="3452" t="s">
        <v>1501</v>
      </c>
      <c r="J367" s="3453"/>
      <c r="K367" s="942" t="str">
        <f>IF(K363=$S$14,$T$12,IF(ROUNDDOWN(K363,0)=$S$12,$U$12,$T$12))</f>
        <v>　レベル　4</v>
      </c>
      <c r="L367" s="3385" t="s">
        <v>1502</v>
      </c>
      <c r="M367" s="3391"/>
      <c r="N367" s="3391"/>
      <c r="O367" s="3386"/>
    </row>
    <row r="368" spans="2:15" ht="126.75" customHeight="1">
      <c r="B368" s="1">
        <v>5</v>
      </c>
      <c r="C368" s="1">
        <v>5</v>
      </c>
      <c r="D368" s="908"/>
      <c r="E368" s="913"/>
      <c r="F368" s="953" t="str">
        <f>IF(F363=$S$14,$T$13,IF(ROUNDDOWN(F363,0)=$S$13,$U$13,$T$13))</f>
        <v>　レベル　5</v>
      </c>
      <c r="G368" s="3383" t="s">
        <v>1503</v>
      </c>
      <c r="H368" s="3384"/>
      <c r="I368" s="3455" t="s">
        <v>1504</v>
      </c>
      <c r="J368" s="3456"/>
      <c r="K368" s="953" t="str">
        <f>IF(K363=$S$14,$T$13,IF(ROUNDDOWN(K363,0)=$S$13,$U$13,$T$13))</f>
        <v>　レベル　5</v>
      </c>
      <c r="L368" s="3383" t="s">
        <v>1503</v>
      </c>
      <c r="M368" s="3390"/>
      <c r="N368" s="3390"/>
      <c r="O368" s="3384"/>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1992</v>
      </c>
      <c r="G370" s="996"/>
      <c r="H370" s="1045"/>
      <c r="I370" s="1025"/>
      <c r="J370" s="999" t="str">
        <f>IF(OR(F372=0,AND(J371=0,O371=0)),$R$3,"")</f>
        <v>&lt;評価しない&gt;</v>
      </c>
      <c r="K370" s="1084"/>
      <c r="L370" s="996"/>
      <c r="M370" s="1045"/>
      <c r="N370" s="1025"/>
      <c r="O370" s="999"/>
    </row>
    <row r="371" spans="2:15" ht="15.75" hidden="1">
      <c r="B371" s="1114" t="s">
        <v>1993</v>
      </c>
      <c r="C371" s="1114"/>
      <c r="D371" s="908"/>
      <c r="E371" s="1058"/>
      <c r="F371" s="923" t="s">
        <v>2827</v>
      </c>
      <c r="G371" s="924"/>
      <c r="H371" s="925"/>
      <c r="I371" s="926" t="s">
        <v>1364</v>
      </c>
      <c r="J371" s="929">
        <f>重み!M51</f>
        <v>0</v>
      </c>
      <c r="K371" s="923" t="s">
        <v>1968</v>
      </c>
      <c r="L371" s="924"/>
      <c r="M371" s="925"/>
      <c r="N371" s="926" t="s">
        <v>1364</v>
      </c>
      <c r="O371" s="929">
        <f>重み!N51</f>
        <v>0</v>
      </c>
    </row>
    <row r="372" spans="2:15" ht="16.5" hidden="1" thickBot="1">
      <c r="D372" s="908"/>
      <c r="E372" s="1058"/>
      <c r="F372" s="930">
        <v>0</v>
      </c>
      <c r="G372" s="1046" t="s">
        <v>1505</v>
      </c>
      <c r="H372" s="935"/>
      <c r="I372" s="1072"/>
      <c r="J372" s="936"/>
      <c r="K372" s="930">
        <v>0</v>
      </c>
      <c r="L372" s="1046" t="s">
        <v>1987</v>
      </c>
      <c r="M372" s="936"/>
      <c r="N372" s="1046"/>
      <c r="O372" s="1051"/>
    </row>
    <row r="373" spans="2:15" ht="15.75" hidden="1">
      <c r="B373" s="1">
        <v>1</v>
      </c>
      <c r="C373" s="1">
        <v>1</v>
      </c>
      <c r="D373" s="908"/>
      <c r="E373" s="1059"/>
      <c r="F373" s="937" t="str">
        <f>IF(F372=$S$14,$T$9,IF(ROUNDDOWN(F372,0)=$S$9,$U$9,$T$9))</f>
        <v>　レベル　1</v>
      </c>
      <c r="G373" s="3385" t="s">
        <v>225</v>
      </c>
      <c r="H373" s="3391"/>
      <c r="I373" s="3391"/>
      <c r="J373" s="3386"/>
      <c r="K373" s="937" t="str">
        <f>IF(K372=$S$14,$T$9,IF(ROUNDDOWN(K372,0)=$S$9,$U$9,$T$9))</f>
        <v>　レベル　1</v>
      </c>
      <c r="L373" s="3385" t="s">
        <v>225</v>
      </c>
      <c r="M373" s="3391"/>
      <c r="N373" s="3391"/>
      <c r="O373" s="3386"/>
    </row>
    <row r="374" spans="2:15" ht="15.75" hidden="1">
      <c r="B374" s="1">
        <v>2</v>
      </c>
      <c r="C374" s="1">
        <v>2</v>
      </c>
      <c r="D374" s="908"/>
      <c r="E374" s="1059"/>
      <c r="F374" s="942" t="str">
        <f>IF(F372=$S$14,$T$10,IF(ROUNDDOWN(F372,0)=$S$10,$U$10,$T$10))</f>
        <v>　レベル　2</v>
      </c>
      <c r="G374" s="3385" t="s">
        <v>1994</v>
      </c>
      <c r="H374" s="3391"/>
      <c r="I374" s="3391"/>
      <c r="J374" s="3386"/>
      <c r="K374" s="942" t="str">
        <f>IF(K372=$S$14,$T$10,IF(ROUNDDOWN(K372,0)=$S$10,$U$10,$T$10))</f>
        <v>　レベル　2</v>
      </c>
      <c r="L374" s="3385" t="s">
        <v>1994</v>
      </c>
      <c r="M374" s="3391"/>
      <c r="N374" s="3391"/>
      <c r="O374" s="3386"/>
    </row>
    <row r="375" spans="2:15" ht="15.75" hidden="1">
      <c r="B375" s="1">
        <v>3</v>
      </c>
      <c r="C375" s="1">
        <v>3</v>
      </c>
      <c r="D375" s="908"/>
      <c r="E375" s="1059"/>
      <c r="F375" s="942" t="str">
        <f>IF(F372=$S$14,$T$11,IF(ROUNDDOWN(F372,0)=$S$11,$U$11,$T$11))</f>
        <v>　レベル　3</v>
      </c>
      <c r="G375" s="3385" t="s">
        <v>1995</v>
      </c>
      <c r="H375" s="3391"/>
      <c r="I375" s="3391"/>
      <c r="J375" s="3386"/>
      <c r="K375" s="942" t="str">
        <f>IF(K372=$S$14,$T$11,IF(ROUNDDOWN(K372,0)=$S$11,$U$11,$T$11))</f>
        <v>　レベル　3</v>
      </c>
      <c r="L375" s="3385" t="s">
        <v>1995</v>
      </c>
      <c r="M375" s="3402"/>
      <c r="N375" s="3402"/>
      <c r="O375" s="3429"/>
    </row>
    <row r="376" spans="2:15" ht="15.75" hidden="1">
      <c r="B376" s="1" t="s">
        <v>2177</v>
      </c>
      <c r="C376" s="1" t="s">
        <v>2177</v>
      </c>
      <c r="D376" s="908"/>
      <c r="E376" s="1059"/>
      <c r="F376" s="942" t="str">
        <f>IF(F372=$S$14,$T$12,IF(ROUNDDOWN(F372,0)=$S$12,$U$12,$T$12))</f>
        <v>　レベル　4</v>
      </c>
      <c r="G376" s="3385" t="s">
        <v>2178</v>
      </c>
      <c r="H376" s="3391"/>
      <c r="I376" s="3391"/>
      <c r="J376" s="3386"/>
      <c r="K376" s="942" t="str">
        <f>IF(K372=$S$14,$T$12,IF(ROUNDDOWN(K372,0)=$S$12,$U$12,$T$12))</f>
        <v>　レベル　4</v>
      </c>
      <c r="L376" s="3385" t="s">
        <v>2178</v>
      </c>
      <c r="M376" s="3391"/>
      <c r="N376" s="3391"/>
      <c r="O376" s="3386"/>
    </row>
    <row r="377" spans="2:15" ht="15.75" hidden="1">
      <c r="B377" s="1" t="s">
        <v>2177</v>
      </c>
      <c r="C377" s="1" t="s">
        <v>2177</v>
      </c>
      <c r="D377" s="908"/>
      <c r="E377" s="1059"/>
      <c r="F377" s="953" t="str">
        <f>IF(F372=$S$14,$T$13,IF(ROUNDDOWN(F372,0)=$S$13,$U$13,$T$13))</f>
        <v>　レベル　5</v>
      </c>
      <c r="G377" s="3383" t="s">
        <v>2178</v>
      </c>
      <c r="H377" s="3390"/>
      <c r="I377" s="3390"/>
      <c r="J377" s="3384"/>
      <c r="K377" s="953" t="str">
        <f>IF(K372=$S$14,$T$13,IF(ROUNDDOWN(K372,0)=$S$13,$U$13,$T$13))</f>
        <v>　レベル　5</v>
      </c>
      <c r="L377" s="3385" t="s">
        <v>2178</v>
      </c>
      <c r="M377" s="3391"/>
      <c r="N377" s="3391"/>
      <c r="O377" s="3386"/>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3" t="s">
        <v>1996</v>
      </c>
      <c r="G379" s="996"/>
      <c r="H379" s="1045"/>
      <c r="I379" s="1025"/>
      <c r="J379" s="999" t="str">
        <f>IF(OR(F381=0,AND(J380=0,O380=0)),$R$3,"")</f>
        <v>&lt;評価しない&gt;</v>
      </c>
      <c r="K379" s="1084"/>
      <c r="L379" s="996"/>
      <c r="M379" s="1045"/>
      <c r="N379" s="1025"/>
      <c r="O379" s="999"/>
    </row>
    <row r="380" spans="2:15" ht="15.75" hidden="1">
      <c r="D380" s="908"/>
      <c r="E380" s="909"/>
      <c r="F380" s="923" t="s">
        <v>1523</v>
      </c>
      <c r="G380" s="924"/>
      <c r="H380" s="925"/>
      <c r="I380" s="926" t="s">
        <v>1364</v>
      </c>
      <c r="J380" s="929">
        <f>重み!M52</f>
        <v>0</v>
      </c>
      <c r="K380" s="923" t="s">
        <v>1968</v>
      </c>
      <c r="L380" s="924"/>
      <c r="M380" s="925"/>
      <c r="N380" s="926" t="s">
        <v>1364</v>
      </c>
      <c r="O380" s="929">
        <f>重み!N52</f>
        <v>0</v>
      </c>
    </row>
    <row r="381" spans="2:15" ht="16.5" hidden="1" thickBot="1">
      <c r="D381" s="908"/>
      <c r="E381" s="909"/>
      <c r="F381" s="930">
        <v>0</v>
      </c>
      <c r="G381" s="1051" t="s">
        <v>1997</v>
      </c>
      <c r="H381" s="1051"/>
      <c r="I381" s="1136" t="s">
        <v>226</v>
      </c>
      <c r="J381" s="1137"/>
      <c r="K381" s="930">
        <v>0</v>
      </c>
      <c r="L381" s="1046" t="s">
        <v>912</v>
      </c>
      <c r="M381" s="936"/>
      <c r="N381" s="1046"/>
      <c r="O381" s="1051"/>
    </row>
    <row r="382" spans="2:15" ht="15.75" hidden="1">
      <c r="B382" s="1">
        <v>1</v>
      </c>
      <c r="C382" s="1">
        <v>1</v>
      </c>
      <c r="D382" s="908"/>
      <c r="E382" s="909"/>
      <c r="F382" s="937" t="str">
        <f>IF(F381=$S$14,$T$9,IF(ROUNDDOWN(F381,0)=$S$9,$U$9,$T$9))</f>
        <v>　レベル　1</v>
      </c>
      <c r="G382" s="3457" t="s">
        <v>227</v>
      </c>
      <c r="H382" s="3458"/>
      <c r="I382" s="3452" t="s">
        <v>227</v>
      </c>
      <c r="J382" s="3453"/>
      <c r="K382" s="937" t="str">
        <f>IF(K381=$S$14,$T$9,IF(ROUNDDOWN(K381,0)=$S$9,$U$9,$T$9))</f>
        <v>　レベル　1</v>
      </c>
      <c r="L382" s="3381" t="s">
        <v>413</v>
      </c>
      <c r="M382" s="3401"/>
      <c r="N382" s="3401"/>
      <c r="O382" s="3387"/>
    </row>
    <row r="383" spans="2:15" ht="15.75" hidden="1">
      <c r="B383" s="1" t="s">
        <v>228</v>
      </c>
      <c r="C383" s="1" t="s">
        <v>228</v>
      </c>
      <c r="D383" s="908"/>
      <c r="E383" s="909"/>
      <c r="F383" s="942" t="str">
        <f>IF(F381=$S$14,$T$10,IF(ROUNDDOWN(F381,0)=$S$10,$U$10,$T$10))</f>
        <v>　レベル　2</v>
      </c>
      <c r="G383" s="3385" t="s">
        <v>2178</v>
      </c>
      <c r="H383" s="3429"/>
      <c r="I383" s="3452" t="s">
        <v>2178</v>
      </c>
      <c r="J383" s="3454"/>
      <c r="K383" s="942" t="str">
        <f>IF(K381=$S$14,$T$10,IF(ROUNDDOWN(K381,0)=$S$10,$U$10,$T$10))</f>
        <v>　レベル　2</v>
      </c>
      <c r="L383" s="3419" t="s">
        <v>2178</v>
      </c>
      <c r="M383" s="3420"/>
      <c r="N383" s="3420"/>
      <c r="O383" s="3421"/>
    </row>
    <row r="384" spans="2:15" ht="15.75" hidden="1">
      <c r="B384" s="1">
        <v>3</v>
      </c>
      <c r="C384" s="1">
        <v>3</v>
      </c>
      <c r="D384" s="908"/>
      <c r="E384" s="909"/>
      <c r="F384" s="942" t="str">
        <f>IF(F381=$S$14,$T$11,IF(ROUNDDOWN(F381,0)=$S$11,$U$11,$T$11))</f>
        <v>　レベル　3</v>
      </c>
      <c r="G384" s="3385" t="s">
        <v>1998</v>
      </c>
      <c r="H384" s="3429"/>
      <c r="I384" s="3452" t="s">
        <v>229</v>
      </c>
      <c r="J384" s="3453"/>
      <c r="K384" s="942" t="str">
        <f>IF(K381=$S$14,$T$11,IF(ROUNDDOWN(K381,0)=$S$11,$U$11,$T$11))</f>
        <v>　レベル　3</v>
      </c>
      <c r="L384" s="3419" t="s">
        <v>230</v>
      </c>
      <c r="M384" s="3420"/>
      <c r="N384" s="3420"/>
      <c r="O384" s="3421"/>
    </row>
    <row r="385" spans="2:15" ht="15.75" hidden="1">
      <c r="B385" s="1">
        <v>4</v>
      </c>
      <c r="C385" s="1">
        <v>4</v>
      </c>
      <c r="D385" s="908"/>
      <c r="E385" s="909"/>
      <c r="F385" s="942" t="str">
        <f>IF(F381=$S$14,$T$12,IF(ROUNDDOWN(F381,0)=$S$12,$U$12,$T$12))</f>
        <v>　レベル　4</v>
      </c>
      <c r="G385" s="3385" t="s">
        <v>231</v>
      </c>
      <c r="H385" s="3429"/>
      <c r="I385" s="3452" t="s">
        <v>2178</v>
      </c>
      <c r="J385" s="3453"/>
      <c r="K385" s="942" t="str">
        <f>IF(K381=$S$14,$T$12,IF(ROUNDDOWN(K381,0)=$S$12,$U$12,$T$12))</f>
        <v>　レベル　4</v>
      </c>
      <c r="L385" s="3419" t="s">
        <v>231</v>
      </c>
      <c r="M385" s="3420"/>
      <c r="N385" s="3420"/>
      <c r="O385" s="3421"/>
    </row>
    <row r="386" spans="2:15" ht="15.75" hidden="1">
      <c r="B386" s="1">
        <v>5</v>
      </c>
      <c r="C386" s="1">
        <v>5</v>
      </c>
      <c r="D386" s="908"/>
      <c r="E386" s="909"/>
      <c r="F386" s="953" t="str">
        <f>IF(F381=$S$14,$T$13,IF(ROUNDDOWN(F381,0)=$S$13,$U$13,$T$13))</f>
        <v>　レベル　5</v>
      </c>
      <c r="G386" s="3459" t="s">
        <v>232</v>
      </c>
      <c r="H386" s="3460"/>
      <c r="I386" s="3455" t="s">
        <v>1038</v>
      </c>
      <c r="J386" s="3456"/>
      <c r="K386" s="953" t="str">
        <f>IF(K381=$S$14,$T$13,IF(ROUNDDOWN(K381,0)=$S$13,$U$13,$T$13))</f>
        <v>　レベル　5</v>
      </c>
      <c r="L386" s="3410" t="s">
        <v>232</v>
      </c>
      <c r="M386" s="3430"/>
      <c r="N386" s="3430"/>
      <c r="O386" s="3431"/>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3" t="s">
        <v>1999</v>
      </c>
      <c r="G388" s="996"/>
      <c r="H388" s="1045"/>
      <c r="I388" s="1025"/>
      <c r="J388" s="999" t="str">
        <f>IF(OR(F390=0,AND(J389=0,O389=0)),$R$3,"")</f>
        <v>&lt;評価しない&gt;</v>
      </c>
      <c r="K388" s="1084"/>
      <c r="L388" s="996"/>
      <c r="M388" s="1045"/>
      <c r="N388" s="1025"/>
      <c r="O388" s="999"/>
    </row>
    <row r="389" spans="2:15" ht="15.75" hidden="1">
      <c r="D389" s="908"/>
      <c r="E389" s="1058"/>
      <c r="F389" s="923" t="s">
        <v>327</v>
      </c>
      <c r="G389" s="924"/>
      <c r="H389" s="925"/>
      <c r="I389" s="926" t="s">
        <v>1364</v>
      </c>
      <c r="J389" s="929">
        <f>重み!M53</f>
        <v>0</v>
      </c>
      <c r="K389" s="923" t="s">
        <v>1968</v>
      </c>
      <c r="L389" s="924"/>
      <c r="M389" s="925"/>
      <c r="N389" s="926" t="s">
        <v>1364</v>
      </c>
      <c r="O389" s="929">
        <f>重み!N53</f>
        <v>0</v>
      </c>
    </row>
    <row r="390" spans="2:15" ht="16.5" hidden="1" thickBot="1">
      <c r="D390" s="908"/>
      <c r="E390" s="1058"/>
      <c r="F390" s="930">
        <v>0</v>
      </c>
      <c r="G390" s="1046" t="s">
        <v>2000</v>
      </c>
      <c r="H390" s="935"/>
      <c r="I390" s="1072"/>
      <c r="J390" s="936"/>
      <c r="K390" s="930">
        <v>0</v>
      </c>
      <c r="L390" s="1046" t="s">
        <v>912</v>
      </c>
      <c r="M390" s="936"/>
      <c r="N390" s="1046"/>
      <c r="O390" s="1051"/>
    </row>
    <row r="391" spans="2:15" ht="15.75" hidden="1">
      <c r="B391" s="1">
        <v>1</v>
      </c>
      <c r="C391" s="1">
        <v>1</v>
      </c>
      <c r="D391" s="908"/>
      <c r="E391" s="1059"/>
      <c r="F391" s="937" t="str">
        <f>IF(F390=$S$14,$T$9,IF(ROUNDDOWN(F390,0)=$S$9,$U$9,$T$9))</f>
        <v>　レベル　1</v>
      </c>
      <c r="G391" s="3381" t="s">
        <v>413</v>
      </c>
      <c r="H391" s="3401"/>
      <c r="I391" s="3401"/>
      <c r="J391" s="3387"/>
      <c r="K391" s="937" t="str">
        <f>IF(K390=$S$14,$T$9,IF(ROUNDDOWN(K390,0)=$S$9,$U$9,$T$9))</f>
        <v>　レベル　1</v>
      </c>
      <c r="L391" s="3381" t="s">
        <v>413</v>
      </c>
      <c r="M391" s="3401"/>
      <c r="N391" s="3401"/>
      <c r="O391" s="3387"/>
    </row>
    <row r="392" spans="2:15" ht="15.75" hidden="1">
      <c r="B392" s="1" t="s">
        <v>228</v>
      </c>
      <c r="C392" s="1" t="s">
        <v>228</v>
      </c>
      <c r="D392" s="908"/>
      <c r="E392" s="1059"/>
      <c r="F392" s="942" t="str">
        <f>IF(F390=$S$14,$T$10,IF(ROUNDDOWN(F390,0)=$S$10,$U$10,$T$10))</f>
        <v>　レベル　2</v>
      </c>
      <c r="G392" s="3385" t="s">
        <v>2178</v>
      </c>
      <c r="H392" s="3391"/>
      <c r="I392" s="3391"/>
      <c r="J392" s="3386"/>
      <c r="K392" s="942" t="str">
        <f>IF(K390=$S$14,$T$10,IF(ROUNDDOWN(K390,0)=$S$10,$U$10,$T$10))</f>
        <v>　レベル　2</v>
      </c>
      <c r="L392" s="3419" t="s">
        <v>2178</v>
      </c>
      <c r="M392" s="3420"/>
      <c r="N392" s="3420"/>
      <c r="O392" s="3421"/>
    </row>
    <row r="393" spans="2:15" ht="15.75" hidden="1">
      <c r="B393" s="1">
        <v>3</v>
      </c>
      <c r="C393" s="1">
        <v>3</v>
      </c>
      <c r="D393" s="908"/>
      <c r="E393" s="1059"/>
      <c r="F393" s="942" t="str">
        <f>IF(F390=$S$14,$T$11,IF(ROUNDDOWN(F390,0)=$S$11,$U$11,$T$11))</f>
        <v>　レベル　3</v>
      </c>
      <c r="G393" s="3385" t="s">
        <v>2001</v>
      </c>
      <c r="H393" s="3391"/>
      <c r="I393" s="3391"/>
      <c r="J393" s="3386"/>
      <c r="K393" s="942" t="str">
        <f>IF(K390=$S$14,$T$11,IF(ROUNDDOWN(K390,0)=$S$11,$U$11,$T$11))</f>
        <v>　レベル　3</v>
      </c>
      <c r="L393" s="3419" t="s">
        <v>1039</v>
      </c>
      <c r="M393" s="3420"/>
      <c r="N393" s="3420"/>
      <c r="O393" s="3421"/>
    </row>
    <row r="394" spans="2:15" ht="15.75" hidden="1">
      <c r="B394" s="1">
        <v>4</v>
      </c>
      <c r="C394" s="1">
        <v>4</v>
      </c>
      <c r="D394" s="908"/>
      <c r="E394" s="1059"/>
      <c r="F394" s="942" t="str">
        <f>IF(F390=$S$14,$T$12,IF(ROUNDDOWN(F390,0)=$S$12,$U$12,$T$12))</f>
        <v>　レベル　4</v>
      </c>
      <c r="G394" s="3385" t="s">
        <v>1313</v>
      </c>
      <c r="H394" s="3391"/>
      <c r="I394" s="3391"/>
      <c r="J394" s="3386"/>
      <c r="K394" s="942" t="str">
        <f>IF(K390=$S$14,$T$12,IF(ROUNDDOWN(K390,0)=$S$12,$U$12,$T$12))</f>
        <v>　レベル　4</v>
      </c>
      <c r="L394" s="3419" t="s">
        <v>1040</v>
      </c>
      <c r="M394" s="3420"/>
      <c r="N394" s="3420"/>
      <c r="O394" s="3421"/>
    </row>
    <row r="395" spans="2:15" ht="15.75" hidden="1">
      <c r="B395" s="1">
        <v>5</v>
      </c>
      <c r="C395" s="1">
        <v>5</v>
      </c>
      <c r="D395" s="908"/>
      <c r="E395" s="1059"/>
      <c r="F395" s="953" t="str">
        <f>IF(F390=$S$14,$T$13,IF(ROUNDDOWN(F390,0)=$S$13,$U$13,$T$13))</f>
        <v>　レベル　5</v>
      </c>
      <c r="G395" s="3383" t="s">
        <v>18</v>
      </c>
      <c r="H395" s="3390"/>
      <c r="I395" s="3390"/>
      <c r="J395" s="3384"/>
      <c r="K395" s="953" t="str">
        <f>IF(K390=$S$14,$T$13,IF(ROUNDDOWN(K390,0)=$S$13,$U$13,$T$13))</f>
        <v>　レベル　5</v>
      </c>
      <c r="L395" s="3410" t="s">
        <v>18</v>
      </c>
      <c r="M395" s="3430"/>
      <c r="N395" s="3430"/>
      <c r="O395" s="3431"/>
    </row>
    <row r="396" spans="2:15" ht="15.75">
      <c r="B396" s="960">
        <v>0</v>
      </c>
      <c r="C396" s="960">
        <v>0</v>
      </c>
      <c r="D396" s="908"/>
      <c r="E396" s="909"/>
      <c r="F396" s="909"/>
      <c r="G396" s="995"/>
      <c r="H396" s="995"/>
      <c r="I396" s="995"/>
      <c r="J396" s="995"/>
      <c r="K396" s="995"/>
      <c r="L396" s="995"/>
      <c r="M396" s="995"/>
      <c r="N396" s="995"/>
      <c r="O396" s="995"/>
    </row>
    <row r="397" spans="2:15" ht="15.75">
      <c r="D397" s="1326">
        <v>4.2</v>
      </c>
      <c r="E397" s="1042" t="s">
        <v>1314</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1315</v>
      </c>
      <c r="G398" s="996"/>
      <c r="H398" s="1045"/>
      <c r="I398" s="1025"/>
      <c r="J398" s="999" t="str">
        <f>IF(OR(F400=0,AND(J399=0,O399=0)),$R$3,"")</f>
        <v/>
      </c>
      <c r="K398" s="1084"/>
      <c r="L398" s="996"/>
      <c r="M398" s="1045"/>
      <c r="N398" s="1025"/>
      <c r="O398" s="999"/>
    </row>
    <row r="399" spans="2:15" ht="16.5" thickBot="1">
      <c r="D399" s="908"/>
      <c r="E399" s="1058"/>
      <c r="F399" s="923" t="s">
        <v>1363</v>
      </c>
      <c r="G399" s="924"/>
      <c r="H399" s="925"/>
      <c r="I399" s="926" t="s">
        <v>1364</v>
      </c>
      <c r="J399" s="929">
        <f>重み!M55</f>
        <v>0.33333333333333331</v>
      </c>
      <c r="K399" s="923" t="s">
        <v>1968</v>
      </c>
      <c r="L399" s="924"/>
      <c r="M399" s="925"/>
      <c r="N399" s="926" t="s">
        <v>1364</v>
      </c>
      <c r="O399" s="929">
        <f>重み!N55</f>
        <v>0</v>
      </c>
    </row>
    <row r="400" spans="2:15" ht="27" customHeight="1" thickBot="1">
      <c r="D400" s="908"/>
      <c r="E400" s="1059"/>
      <c r="F400" s="930">
        <v>3</v>
      </c>
      <c r="G400" s="2441" t="s">
        <v>1316</v>
      </c>
      <c r="H400" s="2442"/>
      <c r="I400" s="1072" t="s">
        <v>488</v>
      </c>
      <c r="J400" s="936"/>
      <c r="K400" s="930">
        <v>3</v>
      </c>
      <c r="L400" s="1046" t="s">
        <v>912</v>
      </c>
      <c r="M400" s="936"/>
      <c r="N400" s="1046"/>
      <c r="O400" s="1051"/>
    </row>
    <row r="401" spans="2:15" ht="15.75" customHeight="1">
      <c r="B401" s="1">
        <v>1</v>
      </c>
      <c r="C401" s="1">
        <v>1</v>
      </c>
      <c r="D401" s="908"/>
      <c r="E401" s="913"/>
      <c r="F401" s="937" t="str">
        <f>IF(F400=$S$14,$T$9,IF(ROUNDDOWN(F400,0)=$S$9,$U$9,$T$9))</f>
        <v>　レベル　1</v>
      </c>
      <c r="G401" s="3385" t="s">
        <v>451</v>
      </c>
      <c r="H401" s="3433"/>
      <c r="I401" s="3385" t="s">
        <v>2178</v>
      </c>
      <c r="J401" s="3433"/>
      <c r="K401" s="937" t="str">
        <f>IF(K400=$S$14,$T$9,IF(ROUNDDOWN(K400,0)=$S$9,$U$9,$T$9))</f>
        <v>　レベル　1</v>
      </c>
      <c r="L401" s="3385" t="s">
        <v>451</v>
      </c>
      <c r="M401" s="3391"/>
      <c r="N401" s="3391"/>
      <c r="O401" s="3386"/>
    </row>
    <row r="402" spans="2:15" ht="15.75" customHeight="1">
      <c r="B402" s="1" t="s">
        <v>2844</v>
      </c>
      <c r="C402" s="1" t="s">
        <v>2844</v>
      </c>
      <c r="D402" s="908"/>
      <c r="E402" s="913"/>
      <c r="F402" s="942" t="str">
        <f>IF(F400=$S$14,$T$10,IF(ROUNDDOWN(F400,0)=$S$10,$U$10,$T$10))</f>
        <v>　レベル　2</v>
      </c>
      <c r="G402" s="3385" t="s">
        <v>2178</v>
      </c>
      <c r="H402" s="3402"/>
      <c r="I402" s="3385" t="s">
        <v>2178</v>
      </c>
      <c r="J402" s="3429"/>
      <c r="K402" s="942" t="str">
        <f>IF(K400=$S$14,$T$10,IF(ROUNDDOWN(K400,0)=$S$10,$U$10,$T$10))</f>
        <v>　レベル　2</v>
      </c>
      <c r="L402" s="3385" t="s">
        <v>2178</v>
      </c>
      <c r="M402" s="3462"/>
      <c r="N402" s="3462"/>
      <c r="O402" s="3433"/>
    </row>
    <row r="403" spans="2:15" ht="84" customHeight="1">
      <c r="B403" s="1">
        <v>3</v>
      </c>
      <c r="C403" s="1">
        <v>3</v>
      </c>
      <c r="D403" s="908"/>
      <c r="E403" s="913"/>
      <c r="F403" s="942" t="str">
        <f>IF(F400=$S$14,$T$11,IF(ROUNDDOWN(F400,0)=$S$11,$U$11,$T$11))</f>
        <v>■レベル　3</v>
      </c>
      <c r="G403" s="3385" t="s">
        <v>1041</v>
      </c>
      <c r="H403" s="3433"/>
      <c r="I403" s="3385" t="s">
        <v>3394</v>
      </c>
      <c r="J403" s="3461"/>
      <c r="K403" s="942" t="str">
        <f>IF(K400=$S$14,$T$11,IF(ROUNDDOWN(K400,0)=$S$11,$U$11,$T$11))</f>
        <v>■レベル　3</v>
      </c>
      <c r="L403" s="3385" t="s">
        <v>1041</v>
      </c>
      <c r="M403" s="3391"/>
      <c r="N403" s="3391"/>
      <c r="O403" s="3386"/>
    </row>
    <row r="404" spans="2:15" ht="84" customHeight="1">
      <c r="B404" s="1">
        <v>4</v>
      </c>
      <c r="C404" s="1">
        <v>4</v>
      </c>
      <c r="D404" s="908"/>
      <c r="E404" s="913"/>
      <c r="F404" s="942" t="str">
        <f>IF(F400=$S$14,$T$12,IF(ROUNDDOWN(F400,0)=$S$12,$U$12,$T$12))</f>
        <v>　レベル　4</v>
      </c>
      <c r="G404" s="3385" t="s">
        <v>1317</v>
      </c>
      <c r="H404" s="3433"/>
      <c r="I404" s="3385" t="s">
        <v>3395</v>
      </c>
      <c r="J404" s="3461"/>
      <c r="K404" s="942" t="str">
        <f>IF(K400=$S$14,$T$12,IF(ROUNDDOWN(K400,0)=$S$12,$U$12,$T$12))</f>
        <v>　レベル　4</v>
      </c>
      <c r="L404" s="3385" t="s">
        <v>1317</v>
      </c>
      <c r="M404" s="3391"/>
      <c r="N404" s="3391"/>
      <c r="O404" s="3386"/>
    </row>
    <row r="405" spans="2:15" ht="84" customHeight="1">
      <c r="B405" s="1">
        <v>5</v>
      </c>
      <c r="C405" s="1">
        <v>5</v>
      </c>
      <c r="D405" s="908"/>
      <c r="E405" s="913"/>
      <c r="F405" s="953" t="str">
        <f>IF(F400=$S$14,$T$13,IF(ROUNDDOWN(F400,0)=$S$13,$U$13,$T$13))</f>
        <v>　レベル　5</v>
      </c>
      <c r="G405" s="3383" t="s">
        <v>1318</v>
      </c>
      <c r="H405" s="3384"/>
      <c r="I405" s="3383" t="s">
        <v>3396</v>
      </c>
      <c r="J405" s="3463"/>
      <c r="K405" s="953" t="str">
        <f>IF(K400=$S$14,$T$13,IF(ROUNDDOWN(K400,0)=$S$13,$U$13,$T$13))</f>
        <v>　レベル　5</v>
      </c>
      <c r="L405" s="3383" t="s">
        <v>1318</v>
      </c>
      <c r="M405" s="3390"/>
      <c r="N405" s="3390"/>
      <c r="O405" s="3384"/>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1319</v>
      </c>
      <c r="G407" s="996"/>
      <c r="H407" s="1045"/>
      <c r="I407" s="1025"/>
      <c r="J407" s="999" t="str">
        <f>IF(OR(F409=0,AND(J408=0,O408=0)),$R$3,"")</f>
        <v/>
      </c>
      <c r="K407" s="1084"/>
      <c r="L407" s="996"/>
      <c r="M407" s="1045"/>
      <c r="N407" s="1025"/>
      <c r="O407" s="999"/>
    </row>
    <row r="408" spans="2:15" ht="16.5" thickBot="1">
      <c r="D408" s="908"/>
      <c r="E408" s="913"/>
      <c r="F408" s="923" t="s">
        <v>2478</v>
      </c>
      <c r="G408" s="924"/>
      <c r="H408" s="925"/>
      <c r="I408" s="926" t="s">
        <v>1364</v>
      </c>
      <c r="J408" s="929">
        <f>重み!M56</f>
        <v>0.33333333333333331</v>
      </c>
      <c r="K408" s="923" t="s">
        <v>1968</v>
      </c>
      <c r="L408" s="924"/>
      <c r="M408" s="925"/>
      <c r="N408" s="926" t="s">
        <v>1364</v>
      </c>
      <c r="O408" s="929">
        <f>重み!N56</f>
        <v>0</v>
      </c>
    </row>
    <row r="409" spans="2:15" ht="27" customHeight="1" thickBot="1">
      <c r="D409" s="908"/>
      <c r="E409" s="913"/>
      <c r="F409" s="930">
        <v>3</v>
      </c>
      <c r="G409" s="1046" t="s">
        <v>3066</v>
      </c>
      <c r="H409" s="935"/>
      <c r="I409" s="1072" t="s">
        <v>24</v>
      </c>
      <c r="J409" s="936"/>
      <c r="K409" s="930">
        <v>3</v>
      </c>
      <c r="L409" s="1046" t="s">
        <v>2243</v>
      </c>
      <c r="M409" s="936"/>
      <c r="N409" s="1046" t="s">
        <v>1905</v>
      </c>
      <c r="O409" s="936"/>
    </row>
    <row r="410" spans="2:15" ht="15.75" customHeight="1">
      <c r="B410" s="1">
        <v>1</v>
      </c>
      <c r="C410" s="1">
        <v>1</v>
      </c>
      <c r="D410" s="908"/>
      <c r="E410" s="913"/>
      <c r="F410" s="937" t="str">
        <f>IF(F409=$S$14,$T$9,IF(ROUNDDOWN(F409,0)=$S$9,$U$9,$T$9))</f>
        <v>　レベル　1</v>
      </c>
      <c r="G410" s="3381" t="s">
        <v>413</v>
      </c>
      <c r="H410" s="3387"/>
      <c r="I410" s="3381" t="s">
        <v>413</v>
      </c>
      <c r="J410" s="3387"/>
      <c r="K410" s="937" t="str">
        <f>IF(K409=$S$14,$T$9,IF(ROUNDDOWN(K409,0)=$S$9,$U$9,$T$9))</f>
        <v>　レベル　1</v>
      </c>
      <c r="L410" s="3381" t="s">
        <v>1649</v>
      </c>
      <c r="M410" s="3399"/>
      <c r="N410" s="3381" t="s">
        <v>1649</v>
      </c>
      <c r="O410" s="3399"/>
    </row>
    <row r="411" spans="2:15" ht="15.75" customHeight="1">
      <c r="B411" s="1" t="s">
        <v>2842</v>
      </c>
      <c r="C411" s="1" t="s">
        <v>2842</v>
      </c>
      <c r="D411" s="908"/>
      <c r="E411" s="913"/>
      <c r="F411" s="942" t="str">
        <f>IF(F409=$S$14,$T$10,IF(ROUNDDOWN(F409,0)=$S$10,$U$10,$T$10))</f>
        <v>　レベル　2</v>
      </c>
      <c r="G411" s="3385" t="s">
        <v>2178</v>
      </c>
      <c r="H411" s="3429"/>
      <c r="I411" s="3385" t="s">
        <v>2178</v>
      </c>
      <c r="J411" s="3429"/>
      <c r="K411" s="942" t="str">
        <f>IF(K409=$S$14,$T$10,IF(ROUNDDOWN(K409,0)=$S$10,$U$10,$T$10))</f>
        <v>　レベル　2</v>
      </c>
      <c r="L411" s="3385" t="s">
        <v>2178</v>
      </c>
      <c r="M411" s="3386"/>
      <c r="N411" s="3385" t="s">
        <v>2178</v>
      </c>
      <c r="O411" s="3386"/>
    </row>
    <row r="412" spans="2:15" ht="81" customHeight="1">
      <c r="B412" s="1">
        <v>3</v>
      </c>
      <c r="C412" s="1">
        <v>3</v>
      </c>
      <c r="D412" s="908"/>
      <c r="E412" s="913"/>
      <c r="F412" s="942" t="str">
        <f>IF(F409=$S$14,$T$11,IF(ROUNDDOWN(F409,0)=$S$11,$U$11,$T$11))</f>
        <v>■レベル　3</v>
      </c>
      <c r="G412" s="3385" t="s">
        <v>371</v>
      </c>
      <c r="H412" s="3429"/>
      <c r="I412" s="3385" t="s">
        <v>21</v>
      </c>
      <c r="J412" s="3429"/>
      <c r="K412" s="942" t="str">
        <f>IF(K409=$S$14,$T$11,IF(ROUNDDOWN(K409,0)=$S$11,$U$11,$T$11))</f>
        <v>■レベル　3</v>
      </c>
      <c r="L412" s="3385" t="s">
        <v>372</v>
      </c>
      <c r="M412" s="3386"/>
      <c r="N412" s="3385" t="s">
        <v>2144</v>
      </c>
      <c r="O412" s="3386"/>
    </row>
    <row r="413" spans="2:15" ht="111" customHeight="1">
      <c r="B413" s="1">
        <v>4</v>
      </c>
      <c r="C413" s="1">
        <v>4</v>
      </c>
      <c r="D413" s="908"/>
      <c r="E413" s="913"/>
      <c r="F413" s="942" t="str">
        <f>IF(F409=$S$14,$T$12,IF(ROUNDDOWN(F409,0)=$S$12,$U$12,$T$12))</f>
        <v>　レベル　4</v>
      </c>
      <c r="G413" s="3385" t="s">
        <v>19</v>
      </c>
      <c r="H413" s="3429"/>
      <c r="I413" s="3385" t="s">
        <v>22</v>
      </c>
      <c r="J413" s="3429"/>
      <c r="K413" s="942" t="str">
        <f>IF(K409=$S$14,$T$12,IF(ROUNDDOWN(K409,0)=$S$12,$U$12,$T$12))</f>
        <v>　レベル　4</v>
      </c>
      <c r="L413" s="3385" t="s">
        <v>750</v>
      </c>
      <c r="M413" s="3386"/>
      <c r="N413" s="3385" t="s">
        <v>1700</v>
      </c>
      <c r="O413" s="3386"/>
    </row>
    <row r="414" spans="2:15" ht="128.25" customHeight="1">
      <c r="B414" s="1">
        <v>5</v>
      </c>
      <c r="C414" s="1">
        <v>5</v>
      </c>
      <c r="D414" s="908"/>
      <c r="E414" s="913"/>
      <c r="F414" s="953" t="str">
        <f>IF(F409=$S$14,$T$13,IF(ROUNDDOWN(F409,0)=$S$13,$U$13,$T$13))</f>
        <v>　レベル　5</v>
      </c>
      <c r="G414" s="3383" t="s">
        <v>20</v>
      </c>
      <c r="H414" s="3413"/>
      <c r="I414" s="3383" t="s">
        <v>23</v>
      </c>
      <c r="J414" s="3413"/>
      <c r="K414" s="953" t="str">
        <f>IF(K409=$S$14,$T$13,IF(ROUNDDOWN(K409,0)=$S$13,$U$13,$T$13))</f>
        <v>　レベル　5</v>
      </c>
      <c r="L414" s="3383" t="s">
        <v>373</v>
      </c>
      <c r="M414" s="3384"/>
      <c r="N414" s="3383" t="s">
        <v>751</v>
      </c>
      <c r="O414" s="3384"/>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1811</v>
      </c>
      <c r="G416" s="996"/>
      <c r="H416" s="1045"/>
      <c r="I416" s="1025"/>
      <c r="J416" s="999" t="str">
        <f>IF(OR(F418=0,AND(J417=0,O417=0)),$R$3,"")</f>
        <v/>
      </c>
      <c r="K416" s="1084"/>
      <c r="L416" s="996"/>
      <c r="M416" s="1045"/>
      <c r="N416" s="1025"/>
      <c r="O416" s="999"/>
    </row>
    <row r="417" spans="2:15" ht="16.5" thickBot="1">
      <c r="D417" s="908"/>
      <c r="E417" s="1058"/>
      <c r="F417" s="923" t="s">
        <v>1323</v>
      </c>
      <c r="G417" s="924"/>
      <c r="H417" s="925"/>
      <c r="I417" s="926" t="s">
        <v>1364</v>
      </c>
      <c r="J417" s="929">
        <f>重み!M57</f>
        <v>0.33333333333333331</v>
      </c>
      <c r="K417" s="923" t="s">
        <v>1968</v>
      </c>
      <c r="L417" s="924"/>
      <c r="M417" s="925"/>
      <c r="N417" s="926" t="s">
        <v>1364</v>
      </c>
      <c r="O417" s="929">
        <f>重み!N57</f>
        <v>0</v>
      </c>
    </row>
    <row r="418" spans="2:15" ht="27" customHeight="1" thickBot="1">
      <c r="D418" s="908"/>
      <c r="E418" s="1058"/>
      <c r="F418" s="930">
        <v>3</v>
      </c>
      <c r="G418" s="1046" t="s">
        <v>2796</v>
      </c>
      <c r="H418" s="935"/>
      <c r="I418" s="1046" t="s">
        <v>1905</v>
      </c>
      <c r="J418" s="936"/>
      <c r="K418" s="930">
        <v>3</v>
      </c>
      <c r="L418" s="1046" t="s">
        <v>2661</v>
      </c>
      <c r="M418" s="936"/>
      <c r="N418" s="1046" t="s">
        <v>1905</v>
      </c>
      <c r="O418" s="936"/>
    </row>
    <row r="419" spans="2:15" ht="15.75" customHeight="1">
      <c r="B419" s="1">
        <v>1</v>
      </c>
      <c r="C419" s="1">
        <v>1</v>
      </c>
      <c r="D419" s="908"/>
      <c r="E419" s="1059"/>
      <c r="F419" s="937" t="str">
        <f>IF(F418=$S$14,$T$9,IF(ROUNDDOWN(F418,0)=$S$9,$U$9,$T$9))</f>
        <v>　レベル　1</v>
      </c>
      <c r="G419" s="3381" t="s">
        <v>413</v>
      </c>
      <c r="H419" s="3387"/>
      <c r="I419" s="3381" t="s">
        <v>1649</v>
      </c>
      <c r="J419" s="3399"/>
      <c r="K419" s="937" t="str">
        <f>IF(K418=$S$14,$T$9,IF(ROUNDDOWN(K418,0)=$S$9,$U$9,$T$9))</f>
        <v>　レベル　1</v>
      </c>
      <c r="L419" s="3381" t="s">
        <v>1649</v>
      </c>
      <c r="M419" s="3399"/>
      <c r="N419" s="3381" t="s">
        <v>1649</v>
      </c>
      <c r="O419" s="3399"/>
    </row>
    <row r="420" spans="2:15" ht="15.75">
      <c r="B420" s="1" t="s">
        <v>2842</v>
      </c>
      <c r="C420" s="1" t="s">
        <v>2842</v>
      </c>
      <c r="D420" s="908"/>
      <c r="E420" s="1059"/>
      <c r="F420" s="942" t="str">
        <f>IF(F418=$S$14,$T$10,IF(ROUNDDOWN(F418,0)=$S$10,$U$10,$T$10))</f>
        <v>　レベル　2</v>
      </c>
      <c r="G420" s="3385" t="s">
        <v>2178</v>
      </c>
      <c r="H420" s="3386"/>
      <c r="I420" s="3385" t="s">
        <v>2178</v>
      </c>
      <c r="J420" s="3386"/>
      <c r="K420" s="942" t="str">
        <f>IF(K418=$S$14,$T$10,IF(ROUNDDOWN(K418,0)=$S$10,$U$10,$T$10))</f>
        <v>　レベル　2</v>
      </c>
      <c r="L420" s="3385" t="s">
        <v>2178</v>
      </c>
      <c r="M420" s="3386"/>
      <c r="N420" s="3385" t="s">
        <v>2178</v>
      </c>
      <c r="O420" s="3386"/>
    </row>
    <row r="421" spans="2:15" ht="72.75" customHeight="1">
      <c r="B421" s="1">
        <v>3</v>
      </c>
      <c r="C421" s="1">
        <v>3</v>
      </c>
      <c r="D421" s="908"/>
      <c r="E421" s="1059"/>
      <c r="F421" s="942" t="str">
        <f>IF(F418=$S$14,$T$11,IF(ROUNDDOWN(F418,0)=$S$11,$U$11,$T$11))</f>
        <v>■レベル　3</v>
      </c>
      <c r="G421" s="3385" t="s">
        <v>2797</v>
      </c>
      <c r="H421" s="3386"/>
      <c r="I421" s="3385" t="s">
        <v>2183</v>
      </c>
      <c r="J421" s="3386"/>
      <c r="K421" s="942" t="str">
        <f>IF(K418=$S$14,$T$11,IF(ROUNDDOWN(K418,0)=$S$11,$U$11,$T$11))</f>
        <v>■レベル　3</v>
      </c>
      <c r="L421" s="3385" t="s">
        <v>2184</v>
      </c>
      <c r="M421" s="3386"/>
      <c r="N421" s="3385" t="s">
        <v>2183</v>
      </c>
      <c r="O421" s="3386"/>
    </row>
    <row r="422" spans="2:15" ht="61.5" customHeight="1">
      <c r="B422" s="1">
        <v>4</v>
      </c>
      <c r="C422" s="1">
        <v>4</v>
      </c>
      <c r="D422" s="908"/>
      <c r="E422" s="1059"/>
      <c r="F422" s="942" t="str">
        <f>IF(F418=$S$14,$T$12,IF(ROUNDDOWN(F418,0)=$S$12,$U$12,$T$12))</f>
        <v>　レベル　4</v>
      </c>
      <c r="G422" s="3385" t="s">
        <v>482</v>
      </c>
      <c r="H422" s="3386"/>
      <c r="I422" s="3385" t="s">
        <v>2178</v>
      </c>
      <c r="J422" s="3386"/>
      <c r="K422" s="942" t="str">
        <f>IF(K418=$S$14,$T$12,IF(ROUNDDOWN(K418,0)=$S$12,$U$12,$T$12))</f>
        <v>　レベル　4</v>
      </c>
      <c r="L422" s="3385" t="s">
        <v>482</v>
      </c>
      <c r="M422" s="3386"/>
      <c r="N422" s="3385" t="s">
        <v>2178</v>
      </c>
      <c r="O422" s="3386"/>
    </row>
    <row r="423" spans="2:15" ht="70.5" customHeight="1">
      <c r="B423" s="1">
        <v>5</v>
      </c>
      <c r="C423" s="1">
        <v>5</v>
      </c>
      <c r="D423" s="908"/>
      <c r="E423" s="1059"/>
      <c r="F423" s="953" t="str">
        <f>IF(F418=$S$14,$T$13,IF(ROUNDDOWN(F418,0)=$S$13,$U$13,$T$13))</f>
        <v>　レベル　5</v>
      </c>
      <c r="G423" s="3383" t="s">
        <v>2220</v>
      </c>
      <c r="H423" s="3384"/>
      <c r="I423" s="3383" t="s">
        <v>2184</v>
      </c>
      <c r="J423" s="3384"/>
      <c r="K423" s="953" t="str">
        <f>IF(K418=$S$14,$T$13,IF(ROUNDDOWN(K418,0)=$S$13,$U$13,$T$13))</f>
        <v>　レベル　5</v>
      </c>
      <c r="L423" s="3383" t="s">
        <v>2185</v>
      </c>
      <c r="M423" s="3384"/>
      <c r="N423" s="3383" t="s">
        <v>2184</v>
      </c>
      <c r="O423" s="3384"/>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3" t="s">
        <v>2221</v>
      </c>
      <c r="G425" s="996"/>
      <c r="H425" s="1045"/>
      <c r="I425" s="1025"/>
      <c r="J425" s="999" t="str">
        <f>IF(OR(F427=0,AND(J426=0,O426=0)),$R$3,"")</f>
        <v>&lt;評価しない&gt;</v>
      </c>
      <c r="K425" s="1084"/>
      <c r="L425" s="996"/>
      <c r="M425" s="1045"/>
      <c r="N425" s="1025"/>
      <c r="O425" s="999"/>
    </row>
    <row r="426" spans="2:15" ht="15.75" hidden="1">
      <c r="D426" s="908"/>
      <c r="E426" s="1059"/>
      <c r="F426" s="923" t="s">
        <v>2827</v>
      </c>
      <c r="G426" s="924"/>
      <c r="H426" s="925"/>
      <c r="I426" s="926" t="s">
        <v>1364</v>
      </c>
      <c r="J426" s="929">
        <f>重み!M58</f>
        <v>0</v>
      </c>
      <c r="K426" s="923" t="s">
        <v>1968</v>
      </c>
      <c r="L426" s="924"/>
      <c r="M426" s="925"/>
      <c r="N426" s="926" t="s">
        <v>1364</v>
      </c>
      <c r="O426" s="929">
        <f>重み!N58</f>
        <v>0</v>
      </c>
    </row>
    <row r="427" spans="2:15" ht="16.5" hidden="1" thickBot="1">
      <c r="D427" s="908"/>
      <c r="E427" s="1059"/>
      <c r="F427" s="930">
        <v>0</v>
      </c>
      <c r="G427" s="1046" t="s">
        <v>2496</v>
      </c>
      <c r="H427" s="935"/>
      <c r="I427" s="1072"/>
      <c r="J427" s="936"/>
      <c r="K427" s="930">
        <v>0</v>
      </c>
      <c r="L427" s="1046" t="s">
        <v>912</v>
      </c>
      <c r="M427" s="936"/>
      <c r="N427" s="1046"/>
      <c r="O427" s="1051"/>
    </row>
    <row r="428" spans="2:15" ht="15.75" hidden="1" customHeight="1">
      <c r="B428" s="1">
        <v>1</v>
      </c>
      <c r="C428" s="1">
        <v>1</v>
      </c>
      <c r="D428" s="908"/>
      <c r="E428" s="1059"/>
      <c r="F428" s="937" t="str">
        <f>IF(F427=$S$14,$T$9,IF(ROUNDDOWN(F427,0)=$S$9,$U$9,$T$9))</f>
        <v>　レベル　1</v>
      </c>
      <c r="G428" s="3381" t="s">
        <v>413</v>
      </c>
      <c r="H428" s="3401"/>
      <c r="I428" s="3401"/>
      <c r="J428" s="3387"/>
      <c r="K428" s="937" t="str">
        <f>IF(K427=$S$14,$T$9,IF(ROUNDDOWN(K427,0)=$S$9,$U$9,$T$9))</f>
        <v>　レベル　1</v>
      </c>
      <c r="L428" s="3381" t="s">
        <v>413</v>
      </c>
      <c r="M428" s="3401"/>
      <c r="N428" s="3401"/>
      <c r="O428" s="3387"/>
    </row>
    <row r="429" spans="2:15" ht="15.75" hidden="1">
      <c r="B429" s="1" t="s">
        <v>228</v>
      </c>
      <c r="C429" s="1" t="s">
        <v>228</v>
      </c>
      <c r="D429" s="908"/>
      <c r="E429" s="1059"/>
      <c r="F429" s="942" t="str">
        <f>IF(F427=$S$14,$T$10,IF(ROUNDDOWN(F427,0)=$S$10,$U$10,$T$10))</f>
        <v>　レベル　2</v>
      </c>
      <c r="G429" s="3385" t="s">
        <v>2178</v>
      </c>
      <c r="H429" s="3391"/>
      <c r="I429" s="3391"/>
      <c r="J429" s="3386"/>
      <c r="K429" s="942" t="str">
        <f>IF(K427=$S$14,$T$10,IF(ROUNDDOWN(K427,0)=$S$10,$U$10,$T$10))</f>
        <v>　レベル　2</v>
      </c>
      <c r="L429" s="3419" t="s">
        <v>2178</v>
      </c>
      <c r="M429" s="3420"/>
      <c r="N429" s="3420"/>
      <c r="O429" s="3421"/>
    </row>
    <row r="430" spans="2:15" ht="52.5" hidden="1" customHeight="1">
      <c r="B430" s="1">
        <v>3</v>
      </c>
      <c r="C430" s="1">
        <v>3</v>
      </c>
      <c r="D430" s="908"/>
      <c r="E430" s="1059"/>
      <c r="F430" s="942" t="str">
        <f>IF(F427=$S$14,$T$11,IF(ROUNDDOWN(F427,0)=$S$11,$U$11,$T$11))</f>
        <v>　レベル　3</v>
      </c>
      <c r="G430" s="3385" t="s">
        <v>2497</v>
      </c>
      <c r="H430" s="3391"/>
      <c r="I430" s="3391"/>
      <c r="J430" s="3386"/>
      <c r="K430" s="942" t="str">
        <f>IF(K427=$S$14,$T$11,IF(ROUNDDOWN(K427,0)=$S$11,$U$11,$T$11))</f>
        <v>　レベル　3</v>
      </c>
      <c r="L430" s="3419" t="s">
        <v>2186</v>
      </c>
      <c r="M430" s="3420"/>
      <c r="N430" s="3420"/>
      <c r="O430" s="3421"/>
    </row>
    <row r="431" spans="2:15" ht="15.75" hidden="1">
      <c r="B431" s="1" t="s">
        <v>228</v>
      </c>
      <c r="C431" s="1" t="s">
        <v>228</v>
      </c>
      <c r="D431" s="908"/>
      <c r="E431" s="1059"/>
      <c r="F431" s="942" t="str">
        <f>IF(F427=$S$14,$T$12,IF(ROUNDDOWN(F427,0)=$S$12,$U$12,$T$12))</f>
        <v>　レベル　4</v>
      </c>
      <c r="G431" s="3385" t="s">
        <v>2178</v>
      </c>
      <c r="H431" s="3391"/>
      <c r="I431" s="3391"/>
      <c r="J431" s="3386"/>
      <c r="K431" s="942" t="str">
        <f>IF(K427=$S$14,$T$12,IF(ROUNDDOWN(K427,0)=$S$12,$U$12,$T$12))</f>
        <v>　レベル　4</v>
      </c>
      <c r="L431" s="3419" t="s">
        <v>2178</v>
      </c>
      <c r="M431" s="3420"/>
      <c r="N431" s="3420"/>
      <c r="O431" s="3421"/>
    </row>
    <row r="432" spans="2:15" ht="6" hidden="1" customHeight="1">
      <c r="B432" s="1">
        <v>5</v>
      </c>
      <c r="C432" s="1">
        <v>5</v>
      </c>
      <c r="D432" s="908"/>
      <c r="E432" s="1059"/>
      <c r="F432" s="953" t="str">
        <f>IF(F427=$S$14,$T$13,IF(ROUNDDOWN(F427,0)=$S$13,$U$13,$T$13))</f>
        <v>　レベル　5</v>
      </c>
      <c r="G432" s="3383" t="s">
        <v>2498</v>
      </c>
      <c r="H432" s="3390"/>
      <c r="I432" s="3390"/>
      <c r="J432" s="3384"/>
      <c r="K432" s="953" t="str">
        <f>IF(K427=$S$14,$T$13,IF(ROUNDDOWN(K427,0)=$S$13,$U$13,$T$13))</f>
        <v>　レベル　5</v>
      </c>
      <c r="L432" s="3410" t="s">
        <v>1672</v>
      </c>
      <c r="M432" s="3430"/>
      <c r="N432" s="3430"/>
      <c r="O432" s="3431"/>
    </row>
    <row r="433" spans="2:15" ht="15.75">
      <c r="B433" s="960">
        <v>0</v>
      </c>
      <c r="C433" s="960">
        <v>0</v>
      </c>
      <c r="D433" s="908"/>
      <c r="E433" s="913"/>
      <c r="F433" s="913"/>
      <c r="G433" s="1050"/>
      <c r="H433" s="1050"/>
      <c r="I433" s="1050"/>
      <c r="J433" s="1050"/>
      <c r="K433" s="1050"/>
      <c r="L433" s="1050"/>
      <c r="M433" s="1050"/>
      <c r="N433" s="1050"/>
      <c r="O433" s="1050"/>
    </row>
    <row r="434" spans="2:15" ht="15.75">
      <c r="D434" s="1326">
        <v>4.3</v>
      </c>
      <c r="E434" s="1042" t="s">
        <v>2365</v>
      </c>
      <c r="F434" s="916"/>
      <c r="G434" s="1043"/>
      <c r="H434" s="1044"/>
      <c r="I434" s="1044"/>
      <c r="J434" s="1044"/>
      <c r="K434" s="1044"/>
      <c r="L434" s="1044"/>
      <c r="M434" s="1044"/>
      <c r="N434" s="1044"/>
      <c r="O434" s="1044"/>
    </row>
    <row r="435" spans="2:15" ht="15.75">
      <c r="D435" s="908"/>
      <c r="E435" s="913"/>
      <c r="F435" s="919" t="s">
        <v>1673</v>
      </c>
      <c r="G435" s="996"/>
      <c r="H435" s="1045"/>
      <c r="I435" s="1025"/>
      <c r="J435" s="999" t="str">
        <f>IF(OR(F437=0,J436=0),$R$3,"")</f>
        <v/>
      </c>
      <c r="K435" s="1084" t="s">
        <v>1857</v>
      </c>
      <c r="L435" s="996"/>
      <c r="M435" s="1045"/>
      <c r="N435" s="1025"/>
      <c r="O435" s="999" t="str">
        <f>IF(OR(K437=0,O436=0),$R$3,"")</f>
        <v/>
      </c>
    </row>
    <row r="436" spans="2:15" ht="16.5" thickBot="1">
      <c r="D436" s="908"/>
      <c r="E436" s="913"/>
      <c r="F436" s="923" t="s">
        <v>1674</v>
      </c>
      <c r="G436" s="924"/>
      <c r="H436" s="925"/>
      <c r="I436" s="926" t="s">
        <v>1364</v>
      </c>
      <c r="J436" s="929">
        <f>重み!M60</f>
        <v>0.5</v>
      </c>
      <c r="K436" s="923" t="s">
        <v>2019</v>
      </c>
      <c r="L436" s="924"/>
      <c r="M436" s="925"/>
      <c r="N436" s="926" t="s">
        <v>1364</v>
      </c>
      <c r="O436" s="929">
        <f>重み!M61</f>
        <v>0.5</v>
      </c>
    </row>
    <row r="437" spans="2:15" ht="27" customHeight="1" thickBot="1">
      <c r="D437" s="908"/>
      <c r="E437" s="913"/>
      <c r="F437" s="930">
        <v>3</v>
      </c>
      <c r="G437" s="1046" t="s">
        <v>1858</v>
      </c>
      <c r="H437" s="935"/>
      <c r="I437" s="1072"/>
      <c r="J437" s="936"/>
      <c r="K437" s="930">
        <v>3</v>
      </c>
      <c r="L437" s="1046" t="s">
        <v>1859</v>
      </c>
      <c r="M437" s="936"/>
      <c r="N437" s="1046"/>
      <c r="O437" s="1051"/>
    </row>
    <row r="438" spans="2:15" ht="15.75">
      <c r="B438" s="1">
        <v>1</v>
      </c>
      <c r="C438" s="1">
        <v>1</v>
      </c>
      <c r="D438" s="908"/>
      <c r="E438" s="913"/>
      <c r="F438" s="937" t="str">
        <f>IF(F437=$S$14,$T$9,IF(ROUNDDOWN(F437,0)=$S$9,$U$9,$T$9))</f>
        <v>　レベル　1</v>
      </c>
      <c r="G438" s="3381" t="s">
        <v>413</v>
      </c>
      <c r="H438" s="3401"/>
      <c r="I438" s="3401"/>
      <c r="J438" s="3387"/>
      <c r="K438" s="937" t="str">
        <f>IF(K437=$S$14,$T$9,IF(ROUNDDOWN(K437,0)=$S$9,$U$9,$T$9))</f>
        <v>　レベル　1</v>
      </c>
      <c r="L438" s="3381" t="s">
        <v>413</v>
      </c>
      <c r="M438" s="3401"/>
      <c r="N438" s="3401"/>
      <c r="O438" s="3387"/>
    </row>
    <row r="439" spans="2:15" ht="15.75">
      <c r="B439" s="1" t="s">
        <v>2177</v>
      </c>
      <c r="C439" s="1" t="s">
        <v>2177</v>
      </c>
      <c r="D439" s="908"/>
      <c r="E439" s="913"/>
      <c r="F439" s="942" t="str">
        <f>IF(F437=$S$14,$T$10,IF(ROUNDDOWN(F437,0)=$S$10,$U$10,$T$10))</f>
        <v>　レベル　2</v>
      </c>
      <c r="G439" s="3385" t="s">
        <v>2178</v>
      </c>
      <c r="H439" s="3391"/>
      <c r="I439" s="3391"/>
      <c r="J439" s="3386"/>
      <c r="K439" s="942" t="str">
        <f>IF(K437=$S$14,$T$10,IF(ROUNDDOWN(K437,0)=$S$10,$U$10,$T$10))</f>
        <v>　レベル　2</v>
      </c>
      <c r="L439" s="3385" t="s">
        <v>2178</v>
      </c>
      <c r="M439" s="3391"/>
      <c r="N439" s="3391"/>
      <c r="O439" s="3386"/>
    </row>
    <row r="440" spans="2:15" ht="45" customHeight="1">
      <c r="B440" s="1">
        <v>3</v>
      </c>
      <c r="C440" s="1">
        <v>3</v>
      </c>
      <c r="D440" s="908"/>
      <c r="E440" s="913"/>
      <c r="F440" s="942" t="str">
        <f>IF(F437=$S$14,$T$11,IF(ROUNDDOWN(F437,0)=$S$11,$U$11,$T$11))</f>
        <v>■レベル　3</v>
      </c>
      <c r="G440" s="3385" t="s">
        <v>1860</v>
      </c>
      <c r="H440" s="3391"/>
      <c r="I440" s="3391"/>
      <c r="J440" s="3386"/>
      <c r="K440" s="942" t="str">
        <f>IF(K437=$S$14,$T$11,IF(ROUNDDOWN(K437,0)=$S$11,$U$11,$T$11))</f>
        <v>■レベル　3</v>
      </c>
      <c r="L440" s="3385" t="s">
        <v>1861</v>
      </c>
      <c r="M440" s="3391"/>
      <c r="N440" s="3391"/>
      <c r="O440" s="3386"/>
    </row>
    <row r="441" spans="2:15" ht="45" customHeight="1">
      <c r="B441" s="1">
        <v>4</v>
      </c>
      <c r="C441" s="1" t="s">
        <v>2177</v>
      </c>
      <c r="D441" s="908"/>
      <c r="E441" s="913"/>
      <c r="F441" s="942" t="str">
        <f>IF(F437=$S$14,$T$12,IF(ROUNDDOWN(F437,0)=$S$12,$U$12,$T$12))</f>
        <v>　レベル　4</v>
      </c>
      <c r="G441" s="3385" t="s">
        <v>1862</v>
      </c>
      <c r="H441" s="3391"/>
      <c r="I441" s="3391"/>
      <c r="J441" s="3386"/>
      <c r="K441" s="942" t="str">
        <f>IF(K437=$S$14,$T$12,IF(ROUNDDOWN(K437,0)=$S$12,$U$12,$T$12))</f>
        <v>　レベル　4</v>
      </c>
      <c r="L441" s="3385" t="s">
        <v>2178</v>
      </c>
      <c r="M441" s="3391"/>
      <c r="N441" s="3391"/>
      <c r="O441" s="3386"/>
    </row>
    <row r="442" spans="2:15" ht="45" customHeight="1">
      <c r="B442" s="1">
        <v>5</v>
      </c>
      <c r="C442" s="1">
        <v>5</v>
      </c>
      <c r="D442" s="908"/>
      <c r="E442" s="913"/>
      <c r="F442" s="953" t="str">
        <f>IF(F437=$S$14,$T$13,IF(ROUNDDOWN(F437,0)=$S$13,$U$13,$T$13))</f>
        <v>　レベル　5</v>
      </c>
      <c r="G442" s="3383" t="s">
        <v>1675</v>
      </c>
      <c r="H442" s="3390"/>
      <c r="I442" s="3390"/>
      <c r="J442" s="3384"/>
      <c r="K442" s="953" t="str">
        <f>IF(K437=$S$14,$T$13,IF(ROUNDDOWN(K437,0)=$S$13,$U$13,$T$13))</f>
        <v>　レベル　5</v>
      </c>
      <c r="L442" s="3383" t="s">
        <v>1863</v>
      </c>
      <c r="M442" s="3390"/>
      <c r="N442" s="3390"/>
      <c r="O442" s="3384"/>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algorithmName="SHA-512" hashValue="LvgKVNPp8Qh05BnCiEEKxvT4iE4JrZunTrYKFcktI1mPv6uPndSuauNLG26Hx/ViDwi64Rnegn71m+WKOiMfjw==" saltValue="VML+npvAdZiMoXEDglQs4A==" spinCount="100000"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221" priority="1" stopIfTrue="1">
      <formula>AND(J32&gt;0,$M$44&gt;0)</formula>
    </cfRule>
  </conditionalFormatting>
  <conditionalFormatting sqref="I55">
    <cfRule type="expression" dxfId="220" priority="2" stopIfTrue="1">
      <formula>AND(O32&gt;0,K56&gt;0)</formula>
    </cfRule>
  </conditionalFormatting>
  <conditionalFormatting sqref="L8 M143 K68 K116 K100 K84 K132 K256 K195 K213 K168 K239 K267 K285 K295 K304 M327 K345 K363 K372 K381 K390 K400 K409 K418 K427 K437 K222">
    <cfRule type="expression" dxfId="219" priority="3" stopIfTrue="1">
      <formula>AND(OR(K8&lt;1,K8&gt;5),K8&lt;&gt;0)</formula>
    </cfRule>
    <cfRule type="expression" dxfId="218" priority="4" stopIfTrue="1">
      <formula>$O7&gt;0</formula>
    </cfRule>
  </conditionalFormatting>
  <conditionalFormatting sqref="K335 F335">
    <cfRule type="expression" dxfId="217" priority="5" stopIfTrue="1">
      <formula>AND(OR(F335&lt;1,F335&gt;5),F335&lt;&gt;R342)</formula>
    </cfRule>
    <cfRule type="expression" dxfId="216" priority="6" stopIfTrue="1">
      <formula>J334&gt;0</formula>
    </cfRule>
  </conditionalFormatting>
  <conditionalFormatting sqref="K336 F336">
    <cfRule type="expression" dxfId="215" priority="7" stopIfTrue="1">
      <formula>AND(OR(F336&lt;1,F336&gt;5),F336&lt;&gt;#REF!)</formula>
    </cfRule>
    <cfRule type="expression" dxfId="21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213" priority="15" stopIfTrue="1">
      <formula>AND(OR(F8&lt;1,F8&gt;5),F8&lt;&gt;0)</formula>
    </cfRule>
    <cfRule type="expression" dxfId="212" priority="16" stopIfTrue="1">
      <formula>$J7&gt;0</formula>
    </cfRule>
  </conditionalFormatting>
  <conditionalFormatting sqref="G58:G62">
    <cfRule type="expression" dxfId="211" priority="17" stopIfTrue="1">
      <formula>$I$55=$T$4</formula>
    </cfRule>
    <cfRule type="expression" dxfId="210" priority="18" stopIfTrue="1">
      <formula>AND($O$32&gt;0,$K$56&gt;0)</formula>
    </cfRule>
  </conditionalFormatting>
  <conditionalFormatting sqref="F49:G52">
    <cfRule type="expression" dxfId="209" priority="21" stopIfTrue="1">
      <formula>$J$32&gt;0</formula>
    </cfRule>
  </conditionalFormatting>
  <conditionalFormatting sqref="F45:G48">
    <cfRule type="expression" dxfId="208" priority="22" stopIfTrue="1">
      <formula>AND($J$32&gt;0,$M$44&gt;2000)</formula>
    </cfRule>
    <cfRule type="expression" dxfId="207" priority="23" stopIfTrue="1">
      <formula>AND($J$32&gt;0,$M$44&lt;2000,$F$40=$S$3)</formula>
    </cfRule>
  </conditionalFormatting>
  <conditionalFormatting sqref="F40">
    <cfRule type="expression" dxfId="206" priority="24" stopIfTrue="1">
      <formula>$M$44&lt;2000</formula>
    </cfRule>
  </conditionalFormatting>
  <conditionalFormatting sqref="G43">
    <cfRule type="expression" dxfId="205" priority="150" stopIfTrue="1">
      <formula>AND(OR($G$43&lt;1,$G$43&gt;5),$G$43&lt;&gt;$R$39)</formula>
    </cfRule>
    <cfRule type="expression" dxfId="204" priority="151" stopIfTrue="1">
      <formula>AND(O32&gt;0,O$44&gt;0,I43=$T$4)</formula>
    </cfRule>
  </conditionalFormatting>
  <conditionalFormatting sqref="G55">
    <cfRule type="expression" dxfId="203" priority="152" stopIfTrue="1">
      <formula>AND(OR($G$55&lt;1,$G$55&gt;5),$G$55&lt;&gt;$W$39)</formula>
    </cfRule>
    <cfRule type="expression" dxfId="202" priority="153" stopIfTrue="1">
      <formula>AND(O32&gt;0,K56&gt;0,I55=$T$4)</formula>
    </cfRule>
  </conditionalFormatting>
  <conditionalFormatting sqref="F43">
    <cfRule type="expression" dxfId="201" priority="154" stopIfTrue="1">
      <formula>AND(OR($F$43&lt;1,$F$43&gt;5),$F$43&lt;&gt;$R$39)</formula>
    </cfRule>
    <cfRule type="expression" dxfId="20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topLeftCell="A7" zoomScaleNormal="100" zoomScaleSheetLayoutView="100" workbookViewId="0">
      <selection activeCell="F46" sqref="F46"/>
    </sheetView>
  </sheetViews>
  <sheetFormatPr defaultColWidth="0" defaultRowHeight="13.5" zeroHeight="1"/>
  <cols>
    <col min="1" max="1" width="0.875" customWidth="1"/>
    <col min="2" max="2" width="21.375" hidden="1" customWidth="1"/>
    <col min="3" max="3" width="6" hidden="1" customWidth="1"/>
    <col min="4" max="4" width="5.5" style="2277"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2697</v>
      </c>
      <c r="N1" s="906" t="str">
        <f>メイン!C11</f>
        <v>○○ビル</v>
      </c>
      <c r="O1" s="907"/>
      <c r="R1" t="s">
        <v>1335</v>
      </c>
    </row>
    <row r="2" spans="2:22" ht="16.5" thickBot="1">
      <c r="D2" s="903"/>
      <c r="E2" s="1140"/>
      <c r="F2" s="1140"/>
      <c r="G2" s="1061"/>
      <c r="H2" s="1061"/>
      <c r="I2" s="1061"/>
      <c r="J2" s="1061"/>
      <c r="K2" s="1140"/>
      <c r="L2" s="1140"/>
      <c r="M2" s="1140"/>
      <c r="N2" s="1140"/>
      <c r="O2" s="1140"/>
    </row>
    <row r="3" spans="2:22" ht="18.75" thickBot="1">
      <c r="D3" s="1388" t="s">
        <v>1676</v>
      </c>
      <c r="E3" s="1141"/>
      <c r="F3" s="559"/>
      <c r="G3" s="909"/>
      <c r="H3" s="909"/>
      <c r="I3" s="911"/>
      <c r="J3" s="912" t="s">
        <v>2576</v>
      </c>
      <c r="K3" s="913"/>
      <c r="L3" s="913"/>
      <c r="M3" s="559"/>
      <c r="N3" s="559"/>
      <c r="O3" s="1142" t="str">
        <f>IF(メイン!E39=0,"",メイン!E39)</f>
        <v/>
      </c>
      <c r="R3" t="s">
        <v>1361</v>
      </c>
      <c r="S3" t="s">
        <v>1964</v>
      </c>
      <c r="T3" t="s">
        <v>3340</v>
      </c>
      <c r="U3" t="str">
        <f>メイン!I37</f>
        <v>基本設計段階</v>
      </c>
    </row>
    <row r="4" spans="2:22" ht="6" customHeight="1">
      <c r="D4" s="908"/>
      <c r="E4" s="1141"/>
      <c r="F4" s="559"/>
      <c r="G4" s="909"/>
      <c r="H4" s="909"/>
      <c r="I4" s="1101"/>
      <c r="J4" s="909"/>
      <c r="K4" s="913"/>
      <c r="L4" s="913"/>
      <c r="M4" s="559"/>
      <c r="N4" s="559"/>
      <c r="O4" s="559"/>
      <c r="T4" t="s">
        <v>3343</v>
      </c>
      <c r="U4" t="str">
        <f>メイン!I38</f>
        <v>実施設計段階</v>
      </c>
      <c r="V4" t="s">
        <v>1864</v>
      </c>
    </row>
    <row r="5" spans="2:22" ht="15.75">
      <c r="D5" s="1326">
        <v>1</v>
      </c>
      <c r="E5" s="1143" t="s">
        <v>944</v>
      </c>
      <c r="F5" s="1143"/>
      <c r="G5" s="915"/>
      <c r="H5" s="915"/>
      <c r="I5" s="915"/>
      <c r="J5" s="915"/>
      <c r="K5" s="1143"/>
      <c r="L5" s="1143"/>
      <c r="M5" s="1143"/>
      <c r="N5" s="1143"/>
      <c r="O5" s="1143"/>
      <c r="U5" t="str">
        <f>メイン!I39</f>
        <v>竣工段階</v>
      </c>
    </row>
    <row r="6" spans="2:22" ht="15.75">
      <c r="D6" s="1326">
        <v>1.1000000000000001</v>
      </c>
      <c r="E6" s="1143" t="s">
        <v>2369</v>
      </c>
      <c r="F6" s="1143"/>
      <c r="G6" s="1144"/>
      <c r="H6" s="915"/>
      <c r="I6" s="915"/>
      <c r="J6" s="915"/>
      <c r="K6" s="1143"/>
      <c r="L6" s="1145"/>
      <c r="M6" s="1143"/>
      <c r="N6" s="1143"/>
      <c r="O6" s="1143"/>
      <c r="S6" t="s">
        <v>1677</v>
      </c>
      <c r="U6">
        <f>メイン!Q42</f>
        <v>0</v>
      </c>
    </row>
    <row r="7" spans="2:22" ht="15.75">
      <c r="D7" s="908"/>
      <c r="E7" s="913"/>
      <c r="F7" s="919" t="s">
        <v>1865</v>
      </c>
      <c r="G7" s="920"/>
      <c r="H7" s="1146"/>
      <c r="I7" s="904"/>
      <c r="J7" s="999" t="str">
        <f>IF(OR(F9=0,AND(J8=0,O8=0)),$R$3,"")</f>
        <v/>
      </c>
      <c r="K7" s="919"/>
      <c r="L7" s="920"/>
      <c r="M7" s="1146"/>
      <c r="N7" s="904"/>
      <c r="O7" s="921"/>
      <c r="S7" t="s">
        <v>1678</v>
      </c>
    </row>
    <row r="8" spans="2:22" ht="15.75" customHeight="1" thickBot="1">
      <c r="D8" s="908"/>
      <c r="E8" s="913"/>
      <c r="F8" s="923" t="s">
        <v>487</v>
      </c>
      <c r="G8" s="924"/>
      <c r="H8" s="925"/>
      <c r="I8" s="926" t="s">
        <v>1364</v>
      </c>
      <c r="J8" s="929">
        <f>重み!M65</f>
        <v>0.33333333333333331</v>
      </c>
      <c r="K8" s="923" t="s">
        <v>1968</v>
      </c>
      <c r="L8" s="924"/>
      <c r="M8" s="925"/>
      <c r="N8" s="926" t="s">
        <v>1364</v>
      </c>
      <c r="O8" s="929">
        <f>重み!N65</f>
        <v>0</v>
      </c>
    </row>
    <row r="9" spans="2:22" ht="27" customHeight="1" thickBot="1">
      <c r="D9" s="908"/>
      <c r="E9" s="913"/>
      <c r="F9" s="930">
        <v>3</v>
      </c>
      <c r="G9" s="1046" t="s">
        <v>1866</v>
      </c>
      <c r="H9" s="936"/>
      <c r="I9" s="1136" t="s">
        <v>1795</v>
      </c>
      <c r="J9" s="1405"/>
      <c r="K9" s="930">
        <v>3</v>
      </c>
      <c r="L9" s="1046" t="s">
        <v>1867</v>
      </c>
      <c r="M9" s="936"/>
      <c r="N9" s="1046" t="s">
        <v>1679</v>
      </c>
      <c r="O9" s="936"/>
    </row>
    <row r="10" spans="2:22" ht="30.75" customHeight="1">
      <c r="B10" s="1147">
        <v>1</v>
      </c>
      <c r="C10" s="1">
        <v>1</v>
      </c>
      <c r="D10" s="908"/>
      <c r="E10" s="913"/>
      <c r="F10" s="937" t="str">
        <f>IF(F9=$S$15,$T$10,IF(ROUNDDOWN(F9,0)=$S$10,$U$10,$T$10))</f>
        <v>　レベル　1</v>
      </c>
      <c r="G10" s="3381" t="s">
        <v>2279</v>
      </c>
      <c r="H10" s="3387"/>
      <c r="I10" s="3520" t="s">
        <v>2280</v>
      </c>
      <c r="J10" s="3521"/>
      <c r="K10" s="937" t="str">
        <f>IF(K9=$S$15,$T$10,IF(ROUNDDOWN(K9,0)=$S$10,$U$10,$T$10))</f>
        <v>　レベル　1</v>
      </c>
      <c r="L10" s="3381" t="s">
        <v>1649</v>
      </c>
      <c r="M10" s="3399"/>
      <c r="N10" s="3381" t="s">
        <v>1649</v>
      </c>
      <c r="O10" s="3399"/>
      <c r="S10">
        <v>1</v>
      </c>
      <c r="T10" t="s">
        <v>1680</v>
      </c>
      <c r="U10" t="s">
        <v>2640</v>
      </c>
    </row>
    <row r="11" spans="2:22" ht="30.75" customHeight="1">
      <c r="B11" s="1147" t="s">
        <v>2842</v>
      </c>
      <c r="C11" s="1" t="s">
        <v>2842</v>
      </c>
      <c r="D11" s="908"/>
      <c r="E11" s="913"/>
      <c r="F11" s="942" t="str">
        <f>IF(F9=$S$15,$T$11,IF(ROUNDDOWN(F9,0)=$S$11,$U$11,$T$11))</f>
        <v>　レベル　2</v>
      </c>
      <c r="G11" s="3385" t="s">
        <v>2178</v>
      </c>
      <c r="H11" s="3429"/>
      <c r="I11" s="3452" t="s">
        <v>2281</v>
      </c>
      <c r="J11" s="3522"/>
      <c r="K11" s="942" t="str">
        <f>IF(K9=$S$15,$T$11,IF(ROUNDDOWN(K9,0)=$S$11,$U$11,$T$11))</f>
        <v>　レベル　2</v>
      </c>
      <c r="L11" s="3385" t="s">
        <v>2178</v>
      </c>
      <c r="M11" s="3386"/>
      <c r="N11" s="3385" t="s">
        <v>2178</v>
      </c>
      <c r="O11" s="3386"/>
      <c r="S11">
        <v>2</v>
      </c>
      <c r="T11" t="s">
        <v>1336</v>
      </c>
      <c r="U11" t="s">
        <v>1337</v>
      </c>
    </row>
    <row r="12" spans="2:22" ht="30.75" customHeight="1">
      <c r="B12" s="1148">
        <v>3</v>
      </c>
      <c r="C12" s="1">
        <v>3</v>
      </c>
      <c r="D12" s="908"/>
      <c r="E12" s="913"/>
      <c r="F12" s="942" t="str">
        <f>IF(F9=$S$15,$T$12,IF(ROUNDDOWN(F9,0)=$S$12,$U$12,$T$12))</f>
        <v>■レベル　3</v>
      </c>
      <c r="G12" s="3385" t="s">
        <v>2282</v>
      </c>
      <c r="H12" s="3429"/>
      <c r="I12" s="3452" t="s">
        <v>2283</v>
      </c>
      <c r="J12" s="3522"/>
      <c r="K12" s="942" t="str">
        <f>IF(K9=$S$15,$T$12,IF(ROUNDDOWN(K9,0)=$S$12,$U$12,$T$12))</f>
        <v>■レベル　3</v>
      </c>
      <c r="L12" s="3385" t="s">
        <v>2641</v>
      </c>
      <c r="M12" s="3386"/>
      <c r="N12" s="3385" t="s">
        <v>2642</v>
      </c>
      <c r="O12" s="3386"/>
      <c r="S12">
        <v>3</v>
      </c>
      <c r="T12" t="s">
        <v>1342</v>
      </c>
      <c r="U12" t="s">
        <v>1343</v>
      </c>
    </row>
    <row r="13" spans="2:22" ht="30.75" customHeight="1">
      <c r="B13" s="1147">
        <v>4</v>
      </c>
      <c r="C13" s="1">
        <v>4</v>
      </c>
      <c r="D13" s="908"/>
      <c r="E13" s="913"/>
      <c r="F13" s="942" t="str">
        <f>IF(F9=$S$15,$T$13,IF(ROUNDDOWN(F9,0)=$S$13,$U$13,$T$13))</f>
        <v>　レベル　4</v>
      </c>
      <c r="G13" s="3385" t="s">
        <v>1854</v>
      </c>
      <c r="H13" s="3429"/>
      <c r="I13" s="3452" t="s">
        <v>2284</v>
      </c>
      <c r="J13" s="3522"/>
      <c r="K13" s="942" t="str">
        <f>IF(K9=$S$15,$T$13,IF(ROUNDDOWN(K9,0)=$S$13,$U$13,$T$13))</f>
        <v>　レベル　4</v>
      </c>
      <c r="L13" s="3385" t="s">
        <v>2178</v>
      </c>
      <c r="M13" s="3386"/>
      <c r="N13" s="3385" t="s">
        <v>2643</v>
      </c>
      <c r="O13" s="3386"/>
      <c r="S13">
        <v>4</v>
      </c>
      <c r="T13" t="s">
        <v>1221</v>
      </c>
      <c r="U13" t="s">
        <v>1222</v>
      </c>
    </row>
    <row r="14" spans="2:22" ht="30.75" customHeight="1">
      <c r="B14" s="1147">
        <v>5</v>
      </c>
      <c r="C14" s="1">
        <v>5</v>
      </c>
      <c r="D14" s="908"/>
      <c r="E14" s="913"/>
      <c r="F14" s="953" t="str">
        <f>IF(F9=$S$15,$T$14,IF(ROUNDDOWN(F9,0)=$S$14,$U$14,$T$14))</f>
        <v>　レベル　5</v>
      </c>
      <c r="G14" s="3383" t="s">
        <v>2285</v>
      </c>
      <c r="H14" s="3413"/>
      <c r="I14" s="3455" t="s">
        <v>2284</v>
      </c>
      <c r="J14" s="3517"/>
      <c r="K14" s="953" t="str">
        <f>IF(K9=$S$15,$T$14,IF(ROUNDDOWN(K9,0)=$S$14,$U$14,$T$14))</f>
        <v>　レベル　5</v>
      </c>
      <c r="L14" s="3383" t="s">
        <v>2644</v>
      </c>
      <c r="M14" s="3384"/>
      <c r="N14" s="3383" t="s">
        <v>2645</v>
      </c>
      <c r="O14" s="3384"/>
      <c r="S14">
        <v>5</v>
      </c>
      <c r="T14" t="s">
        <v>1228</v>
      </c>
      <c r="U14" t="s">
        <v>1229</v>
      </c>
    </row>
    <row r="15" spans="2:22" ht="15.75">
      <c r="B15" s="960">
        <v>0</v>
      </c>
      <c r="C15" s="960">
        <v>0</v>
      </c>
      <c r="D15" s="908"/>
      <c r="E15" s="913"/>
      <c r="F15" s="1116"/>
      <c r="G15" s="995"/>
      <c r="H15" s="995"/>
      <c r="I15" s="995"/>
      <c r="J15" s="995"/>
      <c r="K15" s="1116"/>
      <c r="L15" s="1116"/>
      <c r="M15" s="1116"/>
      <c r="N15" s="1116"/>
      <c r="O15" s="1116"/>
      <c r="S15">
        <v>0</v>
      </c>
      <c r="T15" t="s">
        <v>2646</v>
      </c>
      <c r="U15" t="s">
        <v>2646</v>
      </c>
    </row>
    <row r="16" spans="2:22" ht="15.75">
      <c r="D16" s="908"/>
      <c r="E16" s="559"/>
      <c r="F16" s="1084" t="s">
        <v>1855</v>
      </c>
      <c r="G16" s="996"/>
      <c r="H16" s="1045"/>
      <c r="I16" s="1025"/>
      <c r="J16" s="999" t="str">
        <f>IF(OR(F18=0,AND(J17=0,O17=0)),$R$3,"")</f>
        <v/>
      </c>
      <c r="K16" s="1084"/>
      <c r="L16" s="996"/>
      <c r="M16" s="1045"/>
      <c r="N16" s="1025"/>
      <c r="O16" s="999"/>
    </row>
    <row r="17" spans="2:15" ht="15.75" customHeight="1" thickBot="1">
      <c r="D17" s="908"/>
      <c r="E17" s="559"/>
      <c r="F17" s="923" t="s">
        <v>2647</v>
      </c>
      <c r="G17" s="924"/>
      <c r="H17" s="925"/>
      <c r="I17" s="926" t="s">
        <v>1364</v>
      </c>
      <c r="J17" s="929">
        <f>重み!M66</f>
        <v>0.33333333333333331</v>
      </c>
      <c r="K17" s="923" t="s">
        <v>1968</v>
      </c>
      <c r="L17" s="924"/>
      <c r="M17" s="925"/>
      <c r="N17" s="926" t="s">
        <v>1364</v>
      </c>
      <c r="O17" s="929">
        <f>重み!N66</f>
        <v>0</v>
      </c>
    </row>
    <row r="18" spans="2:15" ht="27" customHeight="1" thickBot="1">
      <c r="D18" s="908"/>
      <c r="E18" s="559"/>
      <c r="F18" s="930">
        <v>3</v>
      </c>
      <c r="G18" s="1046" t="s">
        <v>1866</v>
      </c>
      <c r="H18" s="935"/>
      <c r="I18" s="935"/>
      <c r="J18" s="936"/>
      <c r="K18" s="930">
        <v>3</v>
      </c>
      <c r="L18" s="1046" t="s">
        <v>2648</v>
      </c>
      <c r="M18" s="936"/>
      <c r="N18" s="1046"/>
      <c r="O18" s="1051"/>
    </row>
    <row r="19" spans="2:15" ht="21" customHeight="1">
      <c r="B19" s="1">
        <v>1</v>
      </c>
      <c r="C19" s="1">
        <v>1</v>
      </c>
      <c r="D19" s="908"/>
      <c r="E19" s="559"/>
      <c r="F19" s="937" t="str">
        <f>IF(F18=$S$15,$T$10,IF(ROUNDDOWN(F18,0)=$S$10,$U$10,$T$10))</f>
        <v>　レベル　1</v>
      </c>
      <c r="G19" s="3381" t="s">
        <v>2029</v>
      </c>
      <c r="H19" s="3382"/>
      <c r="I19" s="3382"/>
      <c r="J19" s="3399"/>
      <c r="K19" s="1149" t="str">
        <f>IF(K18=$S$15,$T$10,IF(ROUNDDOWN(K18,0)=$S$10,$U$10,$T$10))</f>
        <v>　レベル　1</v>
      </c>
      <c r="L19" s="3381" t="s">
        <v>2029</v>
      </c>
      <c r="M19" s="3382"/>
      <c r="N19" s="3382"/>
      <c r="O19" s="3399"/>
    </row>
    <row r="20" spans="2:15" ht="54.75" customHeight="1">
      <c r="B20" s="1">
        <v>2</v>
      </c>
      <c r="C20" s="1">
        <v>2</v>
      </c>
      <c r="D20" s="908"/>
      <c r="E20" s="559"/>
      <c r="F20" s="942" t="str">
        <f>IF(F18=$S$15,$T$11,IF(ROUNDDOWN(F18,0)=$S$11,$U$11,$T$11))</f>
        <v>　レベル　2</v>
      </c>
      <c r="G20" s="3385" t="s">
        <v>1699</v>
      </c>
      <c r="H20" s="3391"/>
      <c r="I20" s="3391"/>
      <c r="J20" s="3386"/>
      <c r="K20" s="1149" t="str">
        <f>IF(K18=$S$15,$T$11,IF(ROUNDDOWN(K18,0)=$S$11,$U$11,$T$11))</f>
        <v>　レベル　2</v>
      </c>
      <c r="L20" s="3403" t="s">
        <v>2290</v>
      </c>
      <c r="M20" s="3391"/>
      <c r="N20" s="3391"/>
      <c r="O20" s="3386"/>
    </row>
    <row r="21" spans="2:15" ht="67.5" customHeight="1">
      <c r="B21" s="1">
        <v>3</v>
      </c>
      <c r="C21" s="1">
        <v>3</v>
      </c>
      <c r="D21" s="908"/>
      <c r="E21" s="559"/>
      <c r="F21" s="942" t="str">
        <f>IF(F18=$S$15,$T$12,IF(ROUNDDOWN(F18,0)=$S$12,$U$12,$T$12))</f>
        <v>■レベル　3</v>
      </c>
      <c r="G21" s="3385" t="s">
        <v>2291</v>
      </c>
      <c r="H21" s="3391"/>
      <c r="I21" s="3391"/>
      <c r="J21" s="3386"/>
      <c r="K21" s="1149" t="str">
        <f>IF(K18=$S$15,$T$12,IF(ROUNDDOWN(K18,0)=$S$12,$U$12,$T$12))</f>
        <v>■レベル　3</v>
      </c>
      <c r="L21" s="3403" t="s">
        <v>2292</v>
      </c>
      <c r="M21" s="3391"/>
      <c r="N21" s="3391"/>
      <c r="O21" s="3386"/>
    </row>
    <row r="22" spans="2:15" ht="69.75" customHeight="1">
      <c r="B22" s="1">
        <v>4</v>
      </c>
      <c r="C22" s="1">
        <v>4</v>
      </c>
      <c r="D22" s="908"/>
      <c r="E22" s="559"/>
      <c r="F22" s="942" t="str">
        <f>IF(F18=$S$15,$T$13,IF(ROUNDDOWN(F18,0)=$S$13,$U$13,$T$13))</f>
        <v>　レベル　4</v>
      </c>
      <c r="G22" s="3385" t="s">
        <v>2293</v>
      </c>
      <c r="H22" s="3391"/>
      <c r="I22" s="3391"/>
      <c r="J22" s="3386"/>
      <c r="K22" s="1149" t="str">
        <f>IF(K18=$S$15,$T$13,IF(ROUNDDOWN(K18,0)=$S$13,$U$13,$T$13))</f>
        <v>　レベル　4</v>
      </c>
      <c r="L22" s="3403" t="s">
        <v>1576</v>
      </c>
      <c r="M22" s="3391"/>
      <c r="N22" s="3391"/>
      <c r="O22" s="3386"/>
    </row>
    <row r="23" spans="2:15" ht="69.75" customHeight="1">
      <c r="B23" s="1">
        <v>5</v>
      </c>
      <c r="C23" s="1">
        <v>5</v>
      </c>
      <c r="D23" s="908"/>
      <c r="E23" s="559"/>
      <c r="F23" s="953" t="str">
        <f>IF(F18=$S$15,$T$14,IF(ROUNDDOWN(F18,0)=$S$14,$U$14,$T$14))</f>
        <v>　レベル　5</v>
      </c>
      <c r="G23" s="3383" t="s">
        <v>2294</v>
      </c>
      <c r="H23" s="3390"/>
      <c r="I23" s="3390"/>
      <c r="J23" s="3384"/>
      <c r="K23" s="1150" t="str">
        <f>IF(K18=$S$15,$T$14,IF(ROUNDDOWN(K18,0)=$S$14,$U$14,$T$14))</f>
        <v>　レベル　5</v>
      </c>
      <c r="L23" s="3404" t="s">
        <v>2295</v>
      </c>
      <c r="M23" s="3390"/>
      <c r="N23" s="3390"/>
      <c r="O23" s="3384"/>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1577</v>
      </c>
      <c r="G25" s="996"/>
      <c r="H25" s="1045"/>
      <c r="I25" s="1025"/>
      <c r="J25" s="999" t="str">
        <f>IF(OR(F27=0,J26=0),$R$3,"")</f>
        <v/>
      </c>
      <c r="K25" s="1116"/>
      <c r="L25" s="1116"/>
      <c r="M25" s="1116"/>
      <c r="N25" s="1116"/>
      <c r="O25" s="1116"/>
    </row>
    <row r="26" spans="2:15" ht="15.75" customHeight="1" thickBot="1">
      <c r="D26" s="908"/>
      <c r="E26" s="559"/>
      <c r="F26" s="1065" t="s">
        <v>327</v>
      </c>
      <c r="G26" s="924"/>
      <c r="H26" s="925"/>
      <c r="I26" s="926" t="s">
        <v>1364</v>
      </c>
      <c r="J26" s="927">
        <f>重み!M67</f>
        <v>0.33333333333333331</v>
      </c>
      <c r="K26" s="924"/>
      <c r="L26" s="925"/>
      <c r="M26" s="924"/>
      <c r="N26" s="1030"/>
      <c r="O26" s="1116"/>
    </row>
    <row r="27" spans="2:15" ht="27" customHeight="1" thickBot="1">
      <c r="D27" s="908"/>
      <c r="E27" s="559"/>
      <c r="F27" s="930">
        <v>3</v>
      </c>
      <c r="G27" s="1046" t="s">
        <v>1578</v>
      </c>
      <c r="H27" s="936"/>
      <c r="I27" s="1046"/>
      <c r="J27" s="1051"/>
      <c r="K27" s="1151" t="s">
        <v>1579</v>
      </c>
      <c r="L27" s="1071"/>
      <c r="M27" s="1151" t="s">
        <v>1580</v>
      </c>
      <c r="N27" s="1051"/>
      <c r="O27" s="1116"/>
    </row>
    <row r="28" spans="2:15" ht="21" customHeight="1">
      <c r="B28" s="1">
        <v>1</v>
      </c>
      <c r="C28" s="1">
        <v>1</v>
      </c>
      <c r="D28" s="908"/>
      <c r="E28" s="559"/>
      <c r="F28" s="937" t="str">
        <f>IF(F27=$S$15,$T$10,IF(ROUNDDOWN(F27,0)=$S$10,$U$10,$T$10))</f>
        <v>　レベル　1</v>
      </c>
      <c r="G28" s="3381" t="s">
        <v>1988</v>
      </c>
      <c r="H28" s="3401"/>
      <c r="I28" s="3401"/>
      <c r="J28" s="3387"/>
      <c r="K28" s="3381" t="s">
        <v>1988</v>
      </c>
      <c r="L28" s="3382"/>
      <c r="M28" s="3382"/>
      <c r="N28" s="3399"/>
      <c r="O28" s="1116"/>
    </row>
    <row r="29" spans="2:15" ht="21" customHeight="1">
      <c r="B29" s="1" t="s">
        <v>2296</v>
      </c>
      <c r="C29" s="1" t="s">
        <v>2296</v>
      </c>
      <c r="D29" s="908"/>
      <c r="E29" s="559"/>
      <c r="F29" s="942" t="str">
        <f>IF(F27=$S$15,$T$11,IF(ROUNDDOWN(F27,0)=$S$11,$U$11,$T$11))</f>
        <v>　レベル　2</v>
      </c>
      <c r="G29" s="3419" t="s">
        <v>2178</v>
      </c>
      <c r="H29" s="3420"/>
      <c r="I29" s="3420"/>
      <c r="J29" s="3421"/>
      <c r="K29" s="3385" t="s">
        <v>2178</v>
      </c>
      <c r="L29" s="3391"/>
      <c r="M29" s="3391"/>
      <c r="N29" s="3386"/>
      <c r="O29" s="1116"/>
    </row>
    <row r="30" spans="2:15" ht="39" customHeight="1">
      <c r="B30" s="1">
        <v>3</v>
      </c>
      <c r="C30" s="1">
        <v>3</v>
      </c>
      <c r="D30" s="908"/>
      <c r="E30" s="559"/>
      <c r="F30" s="942" t="str">
        <f>IF(F27=$S$15,$T$12,IF(ROUNDDOWN(F27,0)=$S$12,$U$12,$T$12))</f>
        <v>■レベル　3</v>
      </c>
      <c r="G30" s="3419" t="s">
        <v>2297</v>
      </c>
      <c r="H30" s="3420"/>
      <c r="I30" s="3420"/>
      <c r="J30" s="3421"/>
      <c r="K30" s="3385" t="s">
        <v>1581</v>
      </c>
      <c r="L30" s="3391"/>
      <c r="M30" s="3391"/>
      <c r="N30" s="3386"/>
      <c r="O30" s="1116"/>
    </row>
    <row r="31" spans="2:15" ht="39" customHeight="1">
      <c r="B31" s="1">
        <v>4</v>
      </c>
      <c r="C31" s="1">
        <v>4</v>
      </c>
      <c r="D31" s="908"/>
      <c r="E31" s="559"/>
      <c r="F31" s="942" t="str">
        <f>IF(F27=$S$15,$T$13,IF(ROUNDDOWN(F27,0)=$S$13,$U$13,$T$13))</f>
        <v>　レベル　4</v>
      </c>
      <c r="G31" s="3419" t="s">
        <v>2298</v>
      </c>
      <c r="H31" s="3420"/>
      <c r="I31" s="3420"/>
      <c r="J31" s="3421"/>
      <c r="K31" s="3385" t="s">
        <v>1582</v>
      </c>
      <c r="L31" s="3391"/>
      <c r="M31" s="3391"/>
      <c r="N31" s="3386"/>
      <c r="O31" s="1116"/>
    </row>
    <row r="32" spans="2:15" ht="39" customHeight="1">
      <c r="B32" s="1">
        <v>5</v>
      </c>
      <c r="C32" s="1">
        <v>5</v>
      </c>
      <c r="D32" s="908"/>
      <c r="E32" s="559"/>
      <c r="F32" s="953" t="str">
        <f>IF(F27=$S$15,$T$14,IF(ROUNDDOWN(F27,0)=$S$14,$U$14,$T$14))</f>
        <v>　レベル　5</v>
      </c>
      <c r="G32" s="3410" t="s">
        <v>2299</v>
      </c>
      <c r="H32" s="3430"/>
      <c r="I32" s="3430"/>
      <c r="J32" s="3431"/>
      <c r="K32" s="3383" t="s">
        <v>1583</v>
      </c>
      <c r="L32" s="3390"/>
      <c r="M32" s="3390"/>
      <c r="N32" s="3384"/>
      <c r="O32" s="1116"/>
    </row>
    <row r="33" spans="2:15" ht="15.75">
      <c r="B33" s="960">
        <v>0</v>
      </c>
      <c r="C33" s="960">
        <v>0</v>
      </c>
      <c r="D33" s="908"/>
      <c r="E33" s="559"/>
      <c r="F33" s="1116"/>
      <c r="G33" s="995"/>
      <c r="H33" s="995"/>
      <c r="I33" s="995"/>
      <c r="J33" s="995"/>
      <c r="K33" s="1116"/>
      <c r="L33" s="1116"/>
      <c r="M33" s="1116"/>
      <c r="N33" s="1116"/>
      <c r="O33" s="1116"/>
    </row>
    <row r="34" spans="2:15" ht="15.75">
      <c r="D34" s="1326">
        <v>1.2</v>
      </c>
      <c r="E34" s="1143" t="s">
        <v>1584</v>
      </c>
      <c r="F34" s="1152"/>
      <c r="G34" s="1043"/>
      <c r="H34" s="1153"/>
      <c r="I34" s="1153"/>
      <c r="J34" s="1153"/>
      <c r="K34" s="1152"/>
      <c r="L34" s="1152"/>
      <c r="M34" s="1152"/>
      <c r="N34" s="1152"/>
      <c r="O34" s="1154"/>
    </row>
    <row r="35" spans="2:15" ht="15.75">
      <c r="D35" s="908"/>
      <c r="E35" s="913"/>
      <c r="F35" s="1084" t="s">
        <v>2300</v>
      </c>
      <c r="G35" s="996"/>
      <c r="H35" s="1045"/>
      <c r="I35" s="1025"/>
      <c r="J35" s="999" t="str">
        <f>IF(OR(F37=0,AND(J36=0,O36=0)),$R$3,"")</f>
        <v/>
      </c>
      <c r="K35" s="1025"/>
      <c r="L35" s="1025"/>
      <c r="M35" s="995"/>
      <c r="N35" s="1025"/>
      <c r="O35" s="1025"/>
    </row>
    <row r="36" spans="2:15" ht="15.75" customHeight="1" thickBot="1">
      <c r="B36" s="1114" t="s">
        <v>1585</v>
      </c>
      <c r="D36" s="908"/>
      <c r="E36" s="913"/>
      <c r="F36" s="1065" t="s">
        <v>1647</v>
      </c>
      <c r="G36" s="924"/>
      <c r="H36" s="925"/>
      <c r="I36" s="926" t="s">
        <v>1364</v>
      </c>
      <c r="J36" s="927">
        <f>重み!M69</f>
        <v>0.33333333333333331</v>
      </c>
      <c r="K36" s="1066"/>
      <c r="L36" s="1068"/>
      <c r="M36" s="1069" t="s">
        <v>1968</v>
      </c>
      <c r="N36" s="926" t="s">
        <v>1364</v>
      </c>
      <c r="O36" s="928">
        <f>重み!N69</f>
        <v>0</v>
      </c>
    </row>
    <row r="37" spans="2:15" ht="27" customHeight="1" thickBot="1">
      <c r="D37" s="908"/>
      <c r="E37" s="913"/>
      <c r="F37" s="930">
        <v>3</v>
      </c>
      <c r="G37" s="1046" t="s">
        <v>1866</v>
      </c>
      <c r="H37" s="936"/>
      <c r="I37" s="1051" t="s">
        <v>1586</v>
      </c>
      <c r="J37" s="1070"/>
      <c r="K37" s="1070" t="s">
        <v>447</v>
      </c>
      <c r="L37" s="1071" t="s">
        <v>488</v>
      </c>
      <c r="M37" s="930">
        <v>3</v>
      </c>
      <c r="N37" s="1046" t="s">
        <v>912</v>
      </c>
      <c r="O37" s="1072"/>
    </row>
    <row r="38" spans="2:15" ht="21" customHeight="1">
      <c r="B38" s="1">
        <v>1</v>
      </c>
      <c r="C38" s="1">
        <v>1</v>
      </c>
      <c r="D38" s="908"/>
      <c r="E38" s="913"/>
      <c r="F38" s="937" t="str">
        <f>IF(F37=$S$15,$T$10,IF(ROUNDDOWN(F37,0)=$S$10,$U$10,$T$10))</f>
        <v>　レベル　1</v>
      </c>
      <c r="G38" s="3381" t="s">
        <v>1519</v>
      </c>
      <c r="H38" s="3399"/>
      <c r="I38" s="3385" t="s">
        <v>1519</v>
      </c>
      <c r="J38" s="3433"/>
      <c r="K38" s="1074" t="s">
        <v>2029</v>
      </c>
      <c r="L38" s="1074" t="s">
        <v>451</v>
      </c>
      <c r="M38" s="937" t="str">
        <f>IF(M37=$S$15,$T$10,IF(ROUNDDOWN(M37,0)=$S$10,$U$10,$T$10))</f>
        <v>　レベル　1</v>
      </c>
      <c r="N38" s="3385" t="s">
        <v>1519</v>
      </c>
      <c r="O38" s="3433"/>
    </row>
    <row r="39" spans="2:15" ht="32.25" customHeight="1">
      <c r="B39" s="1">
        <v>2</v>
      </c>
      <c r="C39" s="1" t="s">
        <v>2844</v>
      </c>
      <c r="D39" s="908"/>
      <c r="E39" s="913"/>
      <c r="F39" s="942" t="str">
        <f>IF(F37=$S$15,$T$11,IF(ROUNDDOWN(F37,0)=$S$11,$U$11,$T$11))</f>
        <v>　レベル　2</v>
      </c>
      <c r="G39" s="3385" t="s">
        <v>2178</v>
      </c>
      <c r="H39" s="3386"/>
      <c r="I39" s="3385" t="s">
        <v>2178</v>
      </c>
      <c r="J39" s="3433"/>
      <c r="K39" s="1124" t="s">
        <v>2672</v>
      </c>
      <c r="L39" s="945" t="s">
        <v>359</v>
      </c>
      <c r="M39" s="942" t="str">
        <f>IF(M37=$S$15,$T$11,IF(ROUNDDOWN(M37,0)=$S$11,$U$11,$T$11))</f>
        <v>　レベル　2</v>
      </c>
      <c r="N39" s="3385" t="s">
        <v>2178</v>
      </c>
      <c r="O39" s="3433"/>
    </row>
    <row r="40" spans="2:15" ht="57" customHeight="1">
      <c r="B40" s="1">
        <v>3</v>
      </c>
      <c r="C40" s="1">
        <v>3</v>
      </c>
      <c r="D40" s="908"/>
      <c r="E40" s="913"/>
      <c r="F40" s="942" t="str">
        <f>IF(F37=$S$15,$T$12,IF(ROUNDDOWN(F37,0)=$S$12,$U$12,$T$12))</f>
        <v>■レベル　3</v>
      </c>
      <c r="G40" s="3385" t="s">
        <v>2806</v>
      </c>
      <c r="H40" s="3386"/>
      <c r="I40" s="3385" t="s">
        <v>2807</v>
      </c>
      <c r="J40" s="3433"/>
      <c r="K40" s="1124" t="s">
        <v>2673</v>
      </c>
      <c r="L40" s="945" t="s">
        <v>917</v>
      </c>
      <c r="M40" s="942" t="str">
        <f>IF(M37=$S$15,$T$12,IF(ROUNDDOWN(M37,0)=$S$12,$U$12,$T$12))</f>
        <v>■レベル　3</v>
      </c>
      <c r="N40" s="3385" t="s">
        <v>2808</v>
      </c>
      <c r="O40" s="3433"/>
    </row>
    <row r="41" spans="2:15" ht="57" customHeight="1">
      <c r="B41" s="1">
        <v>4</v>
      </c>
      <c r="C41" s="1">
        <v>4</v>
      </c>
      <c r="D41" s="908"/>
      <c r="E41" s="913"/>
      <c r="F41" s="942" t="str">
        <f>IF(F37=$S$15,$T$13,IF(ROUNDDOWN(F37,0)=$S$13,$U$13,$T$13))</f>
        <v>　レベル　4</v>
      </c>
      <c r="G41" s="3385" t="s">
        <v>2809</v>
      </c>
      <c r="H41" s="3386"/>
      <c r="I41" s="3385" t="s">
        <v>2810</v>
      </c>
      <c r="J41" s="3433"/>
      <c r="K41" s="1124" t="s">
        <v>2674</v>
      </c>
      <c r="L41" s="945" t="s">
        <v>359</v>
      </c>
      <c r="M41" s="942" t="str">
        <f>IF(M37=$S$15,$T$13,IF(ROUNDDOWN(M37,0)=$S$13,$U$13,$T$13))</f>
        <v>　レベル　4</v>
      </c>
      <c r="N41" s="3385" t="s">
        <v>2811</v>
      </c>
      <c r="O41" s="3433"/>
    </row>
    <row r="42" spans="2:15" ht="57" customHeight="1">
      <c r="B42" s="1">
        <v>5</v>
      </c>
      <c r="C42" s="1">
        <v>5</v>
      </c>
      <c r="D42" s="908"/>
      <c r="E42" s="913"/>
      <c r="F42" s="953" t="str">
        <f>IF(F37=$S$15,$T$14,IF(ROUNDDOWN(F37,0)=$S$14,$U$14,$T$14))</f>
        <v>　レベル　5</v>
      </c>
      <c r="G42" s="3383" t="s">
        <v>1291</v>
      </c>
      <c r="H42" s="3384"/>
      <c r="I42" s="3383" t="s">
        <v>1292</v>
      </c>
      <c r="J42" s="3384"/>
      <c r="K42" s="1155" t="s">
        <v>2675</v>
      </c>
      <c r="L42" s="954" t="s">
        <v>918</v>
      </c>
      <c r="M42" s="953" t="str">
        <f>IF(M37=$S$15,$T$14,IF(ROUNDDOWN(M37,0)=$S$14,$U$14,$T$14))</f>
        <v>　レベル　5</v>
      </c>
      <c r="N42" s="3383" t="s">
        <v>1293</v>
      </c>
      <c r="O42" s="3384"/>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1294</v>
      </c>
      <c r="G44" s="996"/>
      <c r="H44" s="1045"/>
      <c r="I44" s="1025"/>
      <c r="J44" s="999" t="str">
        <f>IF(OR(F46=0,J45=0),$R$3,"")</f>
        <v/>
      </c>
      <c r="K44" s="1025"/>
      <c r="L44" s="1025"/>
      <c r="M44" s="962"/>
      <c r="N44" s="962"/>
      <c r="O44" s="962"/>
    </row>
    <row r="45" spans="2:15" ht="15.75" customHeight="1" thickBot="1">
      <c r="D45" s="908"/>
      <c r="E45" s="1059"/>
      <c r="F45" s="1065" t="s">
        <v>1115</v>
      </c>
      <c r="G45" s="924"/>
      <c r="H45" s="925"/>
      <c r="I45" s="926" t="s">
        <v>1364</v>
      </c>
      <c r="J45" s="927">
        <f>重み!M71</f>
        <v>0.33333333333333331</v>
      </c>
      <c r="K45" s="924"/>
      <c r="L45" s="925"/>
      <c r="M45" s="924"/>
      <c r="N45" s="1030"/>
      <c r="O45" s="962"/>
    </row>
    <row r="46" spans="2:15" ht="27" customHeight="1" thickBot="1">
      <c r="D46" s="908"/>
      <c r="E46" s="1059"/>
      <c r="F46" s="930">
        <v>2</v>
      </c>
      <c r="G46" s="1151" t="s">
        <v>1866</v>
      </c>
      <c r="H46" s="1071"/>
      <c r="I46" s="1071"/>
      <c r="J46" s="1051"/>
      <c r="K46" s="1151" t="s">
        <v>2676</v>
      </c>
      <c r="L46" s="1071"/>
      <c r="M46" s="1071"/>
      <c r="N46" s="1051"/>
      <c r="O46" s="962"/>
    </row>
    <row r="47" spans="2:15" ht="21" customHeight="1">
      <c r="B47" s="1" t="s">
        <v>1049</v>
      </c>
      <c r="C47" s="1">
        <v>1</v>
      </c>
      <c r="D47" s="908"/>
      <c r="E47" s="1156"/>
      <c r="F47" s="937" t="str">
        <f>IF(F46=$S$15,$T$10,IF(ROUNDDOWN(F46,0)=$S$10,$U$10,$T$10))</f>
        <v>　レベル　1</v>
      </c>
      <c r="G47" s="3381" t="s">
        <v>1833</v>
      </c>
      <c r="H47" s="3401"/>
      <c r="I47" s="3401"/>
      <c r="J47" s="3387"/>
      <c r="K47" s="3381" t="s">
        <v>359</v>
      </c>
      <c r="L47" s="3382"/>
      <c r="M47" s="3382"/>
      <c r="N47" s="3399"/>
      <c r="O47" s="962"/>
    </row>
    <row r="48" spans="2:15" ht="21" customHeight="1">
      <c r="B48" s="1">
        <v>2</v>
      </c>
      <c r="C48" s="1">
        <v>2</v>
      </c>
      <c r="D48" s="908"/>
      <c r="E48" s="1156"/>
      <c r="F48" s="942" t="str">
        <f>IF(F46=$S$15,$T$11,IF(ROUNDDOWN(F46,0)=$S$11,$U$11,$T$11))</f>
        <v>■レベル　2</v>
      </c>
      <c r="G48" s="3385" t="s">
        <v>25</v>
      </c>
      <c r="H48" s="3402"/>
      <c r="I48" s="3402"/>
      <c r="J48" s="3429"/>
      <c r="K48" s="3385" t="s">
        <v>28</v>
      </c>
      <c r="L48" s="3391"/>
      <c r="M48" s="3391"/>
      <c r="N48" s="3386"/>
      <c r="O48" s="962"/>
    </row>
    <row r="49" spans="2:15" ht="21" customHeight="1">
      <c r="B49" s="1">
        <v>3</v>
      </c>
      <c r="C49" s="1">
        <v>3</v>
      </c>
      <c r="D49" s="908"/>
      <c r="E49" s="1156"/>
      <c r="F49" s="942" t="str">
        <f>IF(F46=$S$15,$T$12,IF(ROUNDDOWN(F46,0)=$S$12,$U$12,$T$12))</f>
        <v>　レベル　3</v>
      </c>
      <c r="G49" s="3385" t="s">
        <v>374</v>
      </c>
      <c r="H49" s="3402"/>
      <c r="I49" s="3402"/>
      <c r="J49" s="3429"/>
      <c r="K49" s="3385" t="s">
        <v>1296</v>
      </c>
      <c r="L49" s="3391"/>
      <c r="M49" s="3391"/>
      <c r="N49" s="3386"/>
      <c r="O49" s="962"/>
    </row>
    <row r="50" spans="2:15" ht="21" customHeight="1">
      <c r="B50" s="1">
        <v>4</v>
      </c>
      <c r="C50" s="1">
        <v>4</v>
      </c>
      <c r="D50" s="908"/>
      <c r="E50" s="1156"/>
      <c r="F50" s="942" t="str">
        <f>IF(F46=$S$15,$T$13,IF(ROUNDDOWN(F46,0)=$S$13,$U$13,$T$13))</f>
        <v>　レベル　4</v>
      </c>
      <c r="G50" s="3385" t="s">
        <v>26</v>
      </c>
      <c r="H50" s="3402"/>
      <c r="I50" s="3402"/>
      <c r="J50" s="3429"/>
      <c r="K50" s="3385" t="s">
        <v>1297</v>
      </c>
      <c r="L50" s="3391"/>
      <c r="M50" s="3391"/>
      <c r="N50" s="3386"/>
      <c r="O50" s="962"/>
    </row>
    <row r="51" spans="2:15" ht="26.25" customHeight="1">
      <c r="B51" s="1">
        <v>5</v>
      </c>
      <c r="C51" s="1">
        <v>5</v>
      </c>
      <c r="D51" s="908"/>
      <c r="E51" s="1156"/>
      <c r="F51" s="953" t="str">
        <f>IF(F46=$S$15,$T$14,IF(ROUNDDOWN(F46,0)=$S$14,$U$14,$T$14))</f>
        <v>　レベル　5</v>
      </c>
      <c r="G51" s="3383" t="s">
        <v>27</v>
      </c>
      <c r="H51" s="3407"/>
      <c r="I51" s="3407"/>
      <c r="J51" s="3413"/>
      <c r="K51" s="3383" t="s">
        <v>1298</v>
      </c>
      <c r="L51" s="3390"/>
      <c r="M51" s="3390"/>
      <c r="N51" s="3384"/>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2677</v>
      </c>
      <c r="G53" s="996"/>
      <c r="H53" s="1045"/>
      <c r="I53" s="1025"/>
      <c r="J53" s="999" t="str">
        <f>IF(OR(F55=0,AND(J54=0,O54=0)),$R$3,"")</f>
        <v/>
      </c>
      <c r="K53" s="1084"/>
      <c r="L53" s="996"/>
      <c r="M53" s="1045"/>
      <c r="N53" s="1025"/>
      <c r="O53" s="999"/>
    </row>
    <row r="54" spans="2:15" ht="15.75" customHeight="1" thickBot="1">
      <c r="D54" s="908"/>
      <c r="E54" s="559"/>
      <c r="F54" s="923" t="s">
        <v>2827</v>
      </c>
      <c r="G54" s="924"/>
      <c r="H54" s="925"/>
      <c r="I54" s="926" t="s">
        <v>1364</v>
      </c>
      <c r="J54" s="929">
        <f>重み!M72</f>
        <v>0.33333333333333331</v>
      </c>
      <c r="K54" s="923" t="s">
        <v>1968</v>
      </c>
      <c r="L54" s="924"/>
      <c r="M54" s="925"/>
      <c r="N54" s="926" t="s">
        <v>1364</v>
      </c>
      <c r="O54" s="929">
        <f>重み!N72</f>
        <v>0</v>
      </c>
    </row>
    <row r="55" spans="2:15" ht="27" customHeight="1" thickBot="1">
      <c r="D55" s="908"/>
      <c r="E55" s="559"/>
      <c r="F55" s="2051">
        <f>IF(J54=0,0,F63)</f>
        <v>3</v>
      </c>
      <c r="G55" s="1046" t="s">
        <v>1505</v>
      </c>
      <c r="H55" s="935"/>
      <c r="I55" s="935"/>
      <c r="J55" s="936"/>
      <c r="K55" s="2051">
        <f>IF(O54=0,0,K63)</f>
        <v>0</v>
      </c>
      <c r="L55" s="1046" t="s">
        <v>912</v>
      </c>
      <c r="M55" s="936"/>
      <c r="N55" s="1046"/>
      <c r="O55" s="1051"/>
    </row>
    <row r="56" spans="2:15" ht="21" customHeight="1">
      <c r="B56" s="1">
        <v>1</v>
      </c>
      <c r="C56" s="1">
        <v>1</v>
      </c>
      <c r="D56" s="908"/>
      <c r="E56" s="559"/>
      <c r="F56" s="937" t="str">
        <f>IF(F55=$S$15,$T$10,IF(ROUNDDOWN(F55,0)=$S$10,$U$10,$T$10))</f>
        <v>　レベル　1</v>
      </c>
      <c r="G56" s="3381" t="s">
        <v>413</v>
      </c>
      <c r="H56" s="3401"/>
      <c r="I56" s="3401"/>
      <c r="J56" s="3387"/>
      <c r="K56" s="937" t="str">
        <f>IF(K55=$S$15,$T$10,IF(ROUNDDOWN(K55,0)=$S$10,$U$10,$T$10))</f>
        <v>　レベル　1</v>
      </c>
      <c r="L56" s="3381" t="s">
        <v>413</v>
      </c>
      <c r="M56" s="3401"/>
      <c r="N56" s="3401"/>
      <c r="O56" s="3387"/>
    </row>
    <row r="57" spans="2:15" ht="21" customHeight="1">
      <c r="B57" s="1" t="s">
        <v>2177</v>
      </c>
      <c r="C57" s="1" t="s">
        <v>2177</v>
      </c>
      <c r="D57" s="908"/>
      <c r="E57" s="559"/>
      <c r="F57" s="942" t="str">
        <f>IF(F55=$S$15,$T$11,IF(ROUNDDOWN(F55,0)=$S$11,$U$11,$T$11))</f>
        <v>　レベル　2</v>
      </c>
      <c r="G57" s="3385" t="s">
        <v>2178</v>
      </c>
      <c r="H57" s="3391"/>
      <c r="I57" s="3391"/>
      <c r="J57" s="3386"/>
      <c r="K57" s="942" t="str">
        <f>IF(K55=$S$15,$T$11,IF(ROUNDDOWN(K55,0)=$S$11,$U$11,$T$11))</f>
        <v>　レベル　2</v>
      </c>
      <c r="L57" s="3419" t="s">
        <v>2178</v>
      </c>
      <c r="M57" s="3420"/>
      <c r="N57" s="3420"/>
      <c r="O57" s="3421"/>
    </row>
    <row r="58" spans="2:15" ht="21" customHeight="1">
      <c r="B58" s="1">
        <v>3</v>
      </c>
      <c r="C58" s="1">
        <v>3</v>
      </c>
      <c r="D58" s="908"/>
      <c r="E58" s="559"/>
      <c r="F58" s="942" t="str">
        <f>IF(F55=$S$15,$T$12,IF(ROUNDDOWN(F55,0)=$S$12,$U$12,$T$12))</f>
        <v>■レベル　3</v>
      </c>
      <c r="G58" s="3385" t="s">
        <v>1299</v>
      </c>
      <c r="H58" s="3391"/>
      <c r="I58" s="3391"/>
      <c r="J58" s="3386"/>
      <c r="K58" s="942" t="str">
        <f>IF(K55=$S$15,$T$12,IF(ROUNDDOWN(K55,0)=$S$12,$U$12,$T$12))</f>
        <v>　レベル　3</v>
      </c>
      <c r="L58" s="3419" t="s">
        <v>1299</v>
      </c>
      <c r="M58" s="3420"/>
      <c r="N58" s="3420"/>
      <c r="O58" s="3421"/>
    </row>
    <row r="59" spans="2:15" ht="21" customHeight="1">
      <c r="B59" s="1">
        <v>4</v>
      </c>
      <c r="C59" s="1">
        <v>4</v>
      </c>
      <c r="D59" s="908"/>
      <c r="E59" s="559"/>
      <c r="F59" s="942" t="str">
        <f>IF(F55=$S$15,$T$13,IF(ROUNDDOWN(F55,0)=$S$13,$U$13,$T$13))</f>
        <v>　レベル　4</v>
      </c>
      <c r="G59" s="3385" t="s">
        <v>1300</v>
      </c>
      <c r="H59" s="3391"/>
      <c r="I59" s="3391"/>
      <c r="J59" s="3386"/>
      <c r="K59" s="942" t="str">
        <f>IF(K55=$S$15,$T$13,IF(ROUNDDOWN(K55,0)=$S$13,$U$13,$T$13))</f>
        <v>　レベル　4</v>
      </c>
      <c r="L59" s="3419" t="s">
        <v>1300</v>
      </c>
      <c r="M59" s="3420"/>
      <c r="N59" s="3420"/>
      <c r="O59" s="3421"/>
    </row>
    <row r="60" spans="2:15" ht="21" customHeight="1" thickBot="1">
      <c r="B60" s="1">
        <v>5</v>
      </c>
      <c r="C60" s="1">
        <v>5</v>
      </c>
      <c r="D60" s="908"/>
      <c r="E60" s="559"/>
      <c r="F60" s="953" t="str">
        <f>IF(F55=$S$15,$T$14,IF(ROUNDDOWN(F55,0)=$S$14,$U$14,$T$14))</f>
        <v>　レベル　5</v>
      </c>
      <c r="G60" s="3383" t="s">
        <v>1301</v>
      </c>
      <c r="H60" s="3533"/>
      <c r="I60" s="3390"/>
      <c r="J60" s="3384"/>
      <c r="K60" s="953" t="str">
        <f>IF(K55=$S$15,$T$14,IF(ROUNDDOWN(K55,0)=$S$14,$U$14,$T$14))</f>
        <v>　レベル　5</v>
      </c>
      <c r="L60" s="3410" t="s">
        <v>1301</v>
      </c>
      <c r="M60" s="3430"/>
      <c r="N60" s="3430"/>
      <c r="O60" s="3431"/>
    </row>
    <row r="61" spans="2:15" ht="16.5" thickBot="1">
      <c r="B61" s="960">
        <v>0</v>
      </c>
      <c r="C61" s="960">
        <v>0</v>
      </c>
      <c r="D61" s="908"/>
      <c r="E61" s="559"/>
      <c r="F61" s="930">
        <v>0</v>
      </c>
      <c r="G61" s="1158" t="s">
        <v>2666</v>
      </c>
      <c r="H61" s="2777" t="s">
        <v>3339</v>
      </c>
      <c r="J61" s="1116"/>
      <c r="K61" s="930">
        <v>0</v>
      </c>
      <c r="L61" s="1158" t="s">
        <v>2666</v>
      </c>
      <c r="M61" s="2777" t="s">
        <v>3339</v>
      </c>
      <c r="N61" s="1036"/>
      <c r="O61" s="1036"/>
    </row>
    <row r="62" spans="2:15" ht="16.5" thickBot="1">
      <c r="D62" s="908"/>
      <c r="E62" s="908"/>
      <c r="F62" s="2834" t="s">
        <v>2678</v>
      </c>
      <c r="I62" s="1159"/>
      <c r="J62" s="1040"/>
      <c r="N62" s="1159"/>
      <c r="O62" s="1040"/>
    </row>
    <row r="63" spans="2:15" ht="20.25" customHeight="1" thickBot="1">
      <c r="D63" s="908"/>
      <c r="E63" s="908"/>
      <c r="F63" s="2056">
        <f>IF(H61=$T$4,F61,IF(G68&lt;2,1,IF(G68=2,3,IF(G68=3,4,IF(G68=4,5)))))</f>
        <v>3</v>
      </c>
      <c r="G63" s="589" t="s">
        <v>1599</v>
      </c>
      <c r="H63" s="1161"/>
      <c r="I63" s="1161"/>
      <c r="J63" s="1161"/>
      <c r="K63" s="2056">
        <f>IF(M61=$T$4,K61,IF(L68&lt;2,1,IF(L68=2,3,IF(L68=3,4,IF(L68=4,5)))))</f>
        <v>3</v>
      </c>
      <c r="L63" s="589" t="s">
        <v>1302</v>
      </c>
      <c r="M63" s="1161"/>
      <c r="N63" s="1161"/>
      <c r="O63" s="1162"/>
    </row>
    <row r="64" spans="2:15" ht="48.75" customHeight="1">
      <c r="D64" s="908"/>
      <c r="E64" s="559"/>
      <c r="F64" s="1024" t="s">
        <v>2671</v>
      </c>
      <c r="G64" s="3484" t="s">
        <v>2679</v>
      </c>
      <c r="H64" s="3485"/>
      <c r="I64" s="3485"/>
      <c r="J64" s="3486"/>
      <c r="K64" s="1024"/>
      <c r="L64" s="3484" t="s">
        <v>2680</v>
      </c>
      <c r="M64" s="3485"/>
      <c r="N64" s="3485"/>
      <c r="O64" s="3486"/>
    </row>
    <row r="65" spans="2:15" ht="65.25" customHeight="1">
      <c r="D65" s="908"/>
      <c r="E65" s="559"/>
      <c r="F65" s="1026" t="s">
        <v>2671</v>
      </c>
      <c r="G65" s="3484" t="s">
        <v>2012</v>
      </c>
      <c r="H65" s="3487"/>
      <c r="I65" s="3487"/>
      <c r="J65" s="3393"/>
      <c r="K65" s="1026"/>
      <c r="L65" s="3484" t="s">
        <v>2012</v>
      </c>
      <c r="M65" s="3487"/>
      <c r="N65" s="3487"/>
      <c r="O65" s="3393"/>
    </row>
    <row r="66" spans="2:15" ht="63" customHeight="1">
      <c r="D66" s="908"/>
      <c r="E66" s="559"/>
      <c r="F66" s="1026"/>
      <c r="G66" s="3484" t="s">
        <v>1321</v>
      </c>
      <c r="H66" s="3487"/>
      <c r="I66" s="3487"/>
      <c r="J66" s="3393"/>
      <c r="K66" s="1026" t="s">
        <v>2671</v>
      </c>
      <c r="L66" s="3484" t="s">
        <v>1321</v>
      </c>
      <c r="M66" s="3487"/>
      <c r="N66" s="3487"/>
      <c r="O66" s="3393"/>
    </row>
    <row r="67" spans="2:15" ht="41.25" customHeight="1" thickBot="1">
      <c r="D67" s="908"/>
      <c r="E67" s="559"/>
      <c r="F67" s="1033"/>
      <c r="G67" s="3484" t="s">
        <v>1303</v>
      </c>
      <c r="H67" s="3487"/>
      <c r="I67" s="3487"/>
      <c r="J67" s="3393"/>
      <c r="K67" s="1033" t="s">
        <v>2671</v>
      </c>
      <c r="L67" s="3484" t="s">
        <v>1303</v>
      </c>
      <c r="M67" s="3487"/>
      <c r="N67" s="3487"/>
      <c r="O67" s="3393"/>
    </row>
    <row r="68" spans="2:15" s="2687" customFormat="1" ht="15.75">
      <c r="D68" s="908"/>
      <c r="E68" s="559"/>
      <c r="F68" s="2842" t="s">
        <v>3362</v>
      </c>
      <c r="G68" s="2767">
        <f>COUNTIF(F64:F67,$S$3)</f>
        <v>2</v>
      </c>
      <c r="H68" s="2767"/>
      <c r="I68" s="2767"/>
      <c r="J68" s="2765"/>
      <c r="K68" s="2842" t="s">
        <v>3362</v>
      </c>
      <c r="L68" s="2767">
        <f>COUNTIF(K64:K67,$S$3)</f>
        <v>2</v>
      </c>
      <c r="M68" s="2767"/>
      <c r="N68" s="2767"/>
      <c r="O68" s="2766"/>
    </row>
    <row r="69" spans="2:15" ht="15.75">
      <c r="D69" s="908"/>
      <c r="E69" s="559"/>
      <c r="F69" s="1116"/>
      <c r="G69" s="995"/>
      <c r="H69" s="995"/>
      <c r="I69" s="995"/>
      <c r="J69" s="995"/>
      <c r="K69" s="1040"/>
      <c r="L69" s="1040"/>
      <c r="M69" s="962"/>
      <c r="N69" s="962"/>
      <c r="O69" s="962"/>
    </row>
    <row r="70" spans="2:15" ht="15.75">
      <c r="D70" s="1326">
        <v>1.3</v>
      </c>
      <c r="E70" s="1143" t="s">
        <v>1</v>
      </c>
      <c r="F70" s="1152"/>
      <c r="G70" s="1043"/>
      <c r="H70" s="1153"/>
      <c r="I70" s="1153"/>
      <c r="J70" s="1153"/>
      <c r="K70" s="1152"/>
      <c r="L70" s="1152"/>
      <c r="M70" s="1163"/>
      <c r="N70" s="1163"/>
      <c r="O70" s="1163"/>
    </row>
    <row r="71" spans="2:15" ht="15.75">
      <c r="D71" s="908"/>
      <c r="E71" s="559"/>
      <c r="F71" s="1084" t="s">
        <v>1322</v>
      </c>
      <c r="G71" s="996"/>
      <c r="H71" s="1045"/>
      <c r="I71" s="1025"/>
      <c r="J71" s="999" t="str">
        <f>IF(OR(F73=0,J72=0),$R$3,"")</f>
        <v/>
      </c>
      <c r="K71" s="1163"/>
      <c r="L71" s="1043"/>
      <c r="M71" s="1163"/>
      <c r="N71" s="1163"/>
      <c r="O71" s="1163"/>
    </row>
    <row r="72" spans="2:15" ht="15.75" customHeight="1" thickBot="1">
      <c r="D72" s="1404"/>
      <c r="E72" s="1143"/>
      <c r="F72" s="1065" t="s">
        <v>1323</v>
      </c>
      <c r="G72" s="924"/>
      <c r="H72" s="925"/>
      <c r="I72" s="926" t="s">
        <v>1364</v>
      </c>
      <c r="J72" s="927">
        <f>重み!M75</f>
        <v>0.5</v>
      </c>
      <c r="K72" s="1066"/>
      <c r="L72" s="926" t="s">
        <v>1324</v>
      </c>
      <c r="M72" s="1164">
        <f>メイン!$J$66</f>
        <v>30000</v>
      </c>
      <c r="N72" s="1165" t="s">
        <v>1325</v>
      </c>
      <c r="O72" s="1166"/>
    </row>
    <row r="73" spans="2:15" ht="27" customHeight="1" thickBot="1">
      <c r="B73" s="1167" t="s">
        <v>1326</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228</v>
      </c>
      <c r="C74" s="1">
        <v>1</v>
      </c>
      <c r="D74" s="908"/>
      <c r="E74" s="918"/>
      <c r="F74" s="937" t="str">
        <f>IF(F73=$S$15,$T$10,IF(ROUNDDOWN(F73,0)=$S$10,$U$10,$T$10))</f>
        <v>　レベル　1</v>
      </c>
      <c r="G74" s="1170" t="s">
        <v>2178</v>
      </c>
      <c r="H74" s="1171"/>
      <c r="I74" s="1171"/>
      <c r="J74" s="1171"/>
      <c r="K74" s="1171"/>
      <c r="L74" s="1171"/>
      <c r="M74" s="1172"/>
      <c r="N74" s="3489"/>
      <c r="O74" s="3490"/>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491"/>
      <c r="O75" s="3490"/>
    </row>
    <row r="76" spans="2:15" ht="21" customHeight="1">
      <c r="B76" s="1">
        <v>3</v>
      </c>
      <c r="C76" s="1">
        <v>3</v>
      </c>
      <c r="D76" s="908"/>
      <c r="E76" s="918"/>
      <c r="F76" s="942" t="str">
        <f>IF(F73=$S$15,$T$12,IF(ROUNDDOWN(F73,0)=$S$12,$U$12,$T$12))</f>
        <v>■レベル　3</v>
      </c>
      <c r="G76" s="1173" t="s">
        <v>125</v>
      </c>
      <c r="H76" s="1174"/>
      <c r="I76" s="1174"/>
      <c r="J76" s="1174"/>
      <c r="K76" s="1174"/>
      <c r="L76" s="1174"/>
      <c r="M76" s="1175"/>
      <c r="N76" s="3491"/>
      <c r="O76" s="3490"/>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491"/>
      <c r="O77" s="3490"/>
    </row>
    <row r="78" spans="2:15" ht="29.25" customHeight="1" thickBot="1">
      <c r="B78" s="1">
        <v>5</v>
      </c>
      <c r="C78" s="1">
        <v>5</v>
      </c>
      <c r="D78" s="908"/>
      <c r="E78" s="918"/>
      <c r="F78" s="953" t="str">
        <f>IF(F73=$S$15,$T$14,IF(ROUNDDOWN(F73,0)=$S$14,$U$14,$T$14))</f>
        <v>　レベル　5</v>
      </c>
      <c r="G78" s="3383" t="s">
        <v>1747</v>
      </c>
      <c r="H78" s="3407"/>
      <c r="I78" s="3407"/>
      <c r="J78" s="3407"/>
      <c r="K78" s="3407"/>
      <c r="L78" s="3407"/>
      <c r="M78" s="3413"/>
      <c r="N78" s="3492"/>
      <c r="O78" s="3493"/>
    </row>
    <row r="79" spans="2:15" ht="16.5" thickBot="1">
      <c r="B79" s="960">
        <v>0</v>
      </c>
      <c r="C79" s="960">
        <v>0</v>
      </c>
      <c r="D79" s="908"/>
      <c r="E79" s="918"/>
      <c r="F79" s="930">
        <v>0</v>
      </c>
      <c r="G79" s="1158" t="s">
        <v>2666</v>
      </c>
      <c r="H79" s="2777" t="s">
        <v>3339</v>
      </c>
      <c r="J79" s="1180"/>
      <c r="K79" s="1180"/>
      <c r="L79" s="995"/>
      <c r="M79" s="995"/>
      <c r="N79" s="1163"/>
      <c r="O79" s="1163"/>
    </row>
    <row r="80" spans="2:15" ht="16.5" thickBot="1">
      <c r="B80" s="2687" t="s">
        <v>779</v>
      </c>
      <c r="D80" s="908"/>
      <c r="E80" s="908"/>
      <c r="F80" s="2834" t="s">
        <v>2678</v>
      </c>
      <c r="I80" s="1159"/>
      <c r="J80" s="1040"/>
      <c r="K80" s="1163"/>
      <c r="L80" s="1163"/>
      <c r="M80" s="1163"/>
      <c r="N80" s="1163"/>
      <c r="O80" s="1163"/>
    </row>
    <row r="81" spans="2:15" ht="16.5" thickBot="1">
      <c r="D81" s="908"/>
      <c r="E81" s="908"/>
      <c r="F81" s="2056">
        <f>IF(H79=$T$4,F79,IF(G94&lt;=2,2,IF(G94&lt;=5,3,IF(G94&lt;=8,4,5))))</f>
        <v>3</v>
      </c>
      <c r="G81" s="589" t="s">
        <v>1748</v>
      </c>
      <c r="H81" s="1161"/>
      <c r="I81" s="1161"/>
      <c r="J81" s="1161"/>
      <c r="K81" s="1161"/>
      <c r="L81" s="1161"/>
      <c r="M81" s="1161"/>
      <c r="N81" s="1161"/>
      <c r="O81" s="1181"/>
    </row>
    <row r="82" spans="2:15" ht="15.75">
      <c r="D82" s="908"/>
      <c r="E82" s="559"/>
      <c r="F82" s="1024" t="s">
        <v>2671</v>
      </c>
      <c r="G82" s="1182" t="s">
        <v>1304</v>
      </c>
      <c r="H82" s="1183"/>
      <c r="I82" s="1183"/>
      <c r="J82" s="1183"/>
      <c r="K82" s="1183"/>
      <c r="L82" s="1183"/>
      <c r="M82" s="1183"/>
      <c r="N82" s="1183"/>
      <c r="O82" s="1184"/>
    </row>
    <row r="83" spans="2:15" ht="15.75">
      <c r="D83" s="908"/>
      <c r="E83" s="559"/>
      <c r="F83" s="1026" t="s">
        <v>2671</v>
      </c>
      <c r="G83" s="1185" t="s">
        <v>1749</v>
      </c>
      <c r="H83" s="1186"/>
      <c r="I83" s="1186"/>
      <c r="J83" s="1186"/>
      <c r="K83" s="1186"/>
      <c r="L83" s="1186"/>
      <c r="M83" s="1186"/>
      <c r="N83" s="1186"/>
      <c r="O83" s="1187"/>
    </row>
    <row r="84" spans="2:15" ht="15.75">
      <c r="D84" s="908"/>
      <c r="E84" s="559"/>
      <c r="F84" s="1026" t="s">
        <v>2671</v>
      </c>
      <c r="G84" s="1185" t="s">
        <v>29</v>
      </c>
      <c r="H84" s="1186"/>
      <c r="I84" s="1186"/>
      <c r="J84" s="1186"/>
      <c r="K84" s="1186"/>
      <c r="L84" s="1186"/>
      <c r="M84" s="1186"/>
      <c r="N84" s="1186"/>
      <c r="O84" s="1187"/>
    </row>
    <row r="85" spans="2:15" ht="15.75">
      <c r="D85" s="908"/>
      <c r="E85" s="559"/>
      <c r="F85" s="1026"/>
      <c r="G85" s="1185" t="s">
        <v>1750</v>
      </c>
      <c r="H85" s="1186"/>
      <c r="I85" s="1186"/>
      <c r="J85" s="1186"/>
      <c r="K85" s="1186"/>
      <c r="L85" s="1186"/>
      <c r="M85" s="1186"/>
      <c r="N85" s="1186"/>
      <c r="O85" s="1187"/>
    </row>
    <row r="86" spans="2:15" ht="15.75">
      <c r="D86" s="908"/>
      <c r="E86" s="559"/>
      <c r="F86" s="1026"/>
      <c r="G86" s="1185" t="s">
        <v>1305</v>
      </c>
      <c r="H86" s="1186"/>
      <c r="I86" s="1186"/>
      <c r="J86" s="1186"/>
      <c r="K86" s="1186"/>
      <c r="L86" s="1186"/>
      <c r="M86" s="1186"/>
      <c r="N86" s="1186"/>
      <c r="O86" s="1187"/>
    </row>
    <row r="87" spans="2:15" ht="15.75">
      <c r="D87" s="908"/>
      <c r="E87" s="559"/>
      <c r="F87" s="1026"/>
      <c r="G87" s="1185" t="s">
        <v>1751</v>
      </c>
      <c r="H87" s="1186"/>
      <c r="I87" s="1186"/>
      <c r="J87" s="1186"/>
      <c r="K87" s="1186"/>
      <c r="L87" s="1186"/>
      <c r="M87" s="1186"/>
      <c r="N87" s="1186"/>
      <c r="O87" s="1187"/>
    </row>
    <row r="88" spans="2:15" ht="15.75">
      <c r="D88" s="908"/>
      <c r="E88" s="559"/>
      <c r="F88" s="1026"/>
      <c r="G88" s="1185" t="s">
        <v>1306</v>
      </c>
      <c r="H88" s="1186"/>
      <c r="I88" s="1186"/>
      <c r="J88" s="1186"/>
      <c r="K88" s="1186"/>
      <c r="L88" s="1186"/>
      <c r="M88" s="1186"/>
      <c r="N88" s="1186"/>
      <c r="O88" s="1187"/>
    </row>
    <row r="89" spans="2:15" ht="30.75" customHeight="1">
      <c r="D89" s="908"/>
      <c r="E89" s="559"/>
      <c r="F89" s="1026" t="s">
        <v>2671</v>
      </c>
      <c r="G89" s="3497" t="s">
        <v>1752</v>
      </c>
      <c r="H89" s="3402"/>
      <c r="I89" s="3402"/>
      <c r="J89" s="3402"/>
      <c r="K89" s="3402"/>
      <c r="L89" s="3402"/>
      <c r="M89" s="3402"/>
      <c r="N89" s="3402"/>
      <c r="O89" s="3429"/>
    </row>
    <row r="90" spans="2:15" ht="15.75">
      <c r="D90" s="908"/>
      <c r="E90" s="559"/>
      <c r="F90" s="1026"/>
      <c r="G90" s="1185" t="s">
        <v>1307</v>
      </c>
      <c r="H90" s="1186"/>
      <c r="I90" s="1186"/>
      <c r="J90" s="1186"/>
      <c r="K90" s="1186"/>
      <c r="L90" s="1186"/>
      <c r="M90" s="1186"/>
      <c r="N90" s="1186"/>
      <c r="O90" s="1187"/>
    </row>
    <row r="91" spans="2:15" ht="15.75">
      <c r="D91" s="908"/>
      <c r="E91" s="559"/>
      <c r="F91" s="1026"/>
      <c r="G91" s="1185" t="s">
        <v>1753</v>
      </c>
      <c r="H91" s="1186"/>
      <c r="I91" s="1186"/>
      <c r="J91" s="1186"/>
      <c r="K91" s="1186"/>
      <c r="L91" s="1186"/>
      <c r="M91" s="1186"/>
      <c r="N91" s="1186"/>
      <c r="O91" s="1187"/>
    </row>
    <row r="92" spans="2:15" ht="15.75">
      <c r="D92" s="908"/>
      <c r="E92" s="559"/>
      <c r="F92" s="1026" t="s">
        <v>2671</v>
      </c>
      <c r="G92" s="1185" t="s">
        <v>1754</v>
      </c>
      <c r="H92" s="1186"/>
      <c r="I92" s="1186"/>
      <c r="J92" s="1186"/>
      <c r="K92" s="1186"/>
      <c r="L92" s="1186"/>
      <c r="M92" s="1186"/>
      <c r="N92" s="1186"/>
      <c r="O92" s="1187"/>
    </row>
    <row r="93" spans="2:15" ht="16.5" thickBot="1">
      <c r="D93" s="908"/>
      <c r="E93" s="559"/>
      <c r="F93" s="1033"/>
      <c r="G93" s="1188" t="s">
        <v>1308</v>
      </c>
      <c r="H93" s="1189"/>
      <c r="I93" s="1189"/>
      <c r="J93" s="1189"/>
      <c r="K93" s="1189"/>
      <c r="L93" s="1189"/>
      <c r="M93" s="1189"/>
      <c r="N93" s="1189"/>
      <c r="O93" s="1190"/>
    </row>
    <row r="94" spans="2:15" ht="15.75">
      <c r="D94" s="908"/>
      <c r="E94" s="559"/>
      <c r="F94" s="2842" t="s">
        <v>3362</v>
      </c>
      <c r="G94" s="2767">
        <f>COUNTIF(F82:F93,$S$3)</f>
        <v>5</v>
      </c>
      <c r="H94" s="1192"/>
      <c r="I94" s="1192"/>
      <c r="J94" s="1193"/>
      <c r="K94" s="1194"/>
      <c r="L94" s="1194"/>
      <c r="M94" s="1194"/>
      <c r="N94" s="1193"/>
      <c r="O94" s="1195"/>
    </row>
    <row r="95" spans="2:15" ht="14.25" hidden="1" thickBot="1">
      <c r="B95" s="1114" t="s">
        <v>778</v>
      </c>
      <c r="F95" s="995" t="s">
        <v>2959</v>
      </c>
      <c r="G95" s="2393"/>
      <c r="H95" s="2393"/>
      <c r="I95" s="1707"/>
      <c r="J95" s="2385"/>
      <c r="K95" s="3554" t="s">
        <v>1864</v>
      </c>
      <c r="L95" s="3555"/>
      <c r="M95" s="3556"/>
      <c r="N95" s="995"/>
      <c r="O95" s="1163"/>
    </row>
    <row r="96" spans="2:15" ht="14.25" hidden="1" thickBot="1">
      <c r="F96" s="1160" t="e">
        <f>IF(#REF!=$T$4,F80,ROUND(IF(G104&lt;=2,1,IF(G104&lt;=5,2,IF(G104&lt;=8,3,IF(G104&lt;=11,4,IF(G104&gt;=12,5))))),0))</f>
        <v>#REF!</v>
      </c>
      <c r="G96" s="1161" t="s">
        <v>1755</v>
      </c>
      <c r="H96" s="1161"/>
      <c r="I96" s="589" t="s">
        <v>2960</v>
      </c>
      <c r="J96" s="1161"/>
      <c r="K96" s="1161"/>
      <c r="L96" s="1161"/>
      <c r="M96" s="1161"/>
      <c r="N96" s="1196" t="s">
        <v>1756</v>
      </c>
      <c r="O96" s="1163"/>
    </row>
    <row r="97" spans="6:15" hidden="1">
      <c r="F97" s="1197">
        <v>3</v>
      </c>
      <c r="G97" s="1171" t="s">
        <v>2961</v>
      </c>
      <c r="H97" s="1172"/>
      <c r="I97" s="1170" t="s">
        <v>2962</v>
      </c>
      <c r="J97" s="1171"/>
      <c r="K97" s="1171"/>
      <c r="L97" s="1171"/>
      <c r="M97" s="1171"/>
      <c r="N97" s="1198">
        <v>3</v>
      </c>
      <c r="O97" s="1163"/>
    </row>
    <row r="98" spans="6:15" hidden="1">
      <c r="F98" s="1199">
        <v>1</v>
      </c>
      <c r="G98" s="2389" t="s">
        <v>2963</v>
      </c>
      <c r="H98" s="2390"/>
      <c r="I98" s="1173" t="s">
        <v>2964</v>
      </c>
      <c r="J98" s="2389"/>
      <c r="K98" s="2389"/>
      <c r="L98" s="2389"/>
      <c r="M98" s="2389"/>
      <c r="N98" s="1200">
        <v>1</v>
      </c>
      <c r="O98" s="1163"/>
    </row>
    <row r="99" spans="6:15" hidden="1">
      <c r="F99" s="1199">
        <v>3</v>
      </c>
      <c r="G99" s="2389" t="s">
        <v>2965</v>
      </c>
      <c r="H99" s="2390"/>
      <c r="I99" s="1173" t="s">
        <v>2966</v>
      </c>
      <c r="J99" s="2389"/>
      <c r="K99" s="2389"/>
      <c r="L99" s="2389"/>
      <c r="M99" s="2389"/>
      <c r="N99" s="1200">
        <v>3</v>
      </c>
      <c r="O99" s="1163"/>
    </row>
    <row r="100" spans="6:15" hidden="1">
      <c r="F100" s="1199">
        <v>0</v>
      </c>
      <c r="G100" s="2389" t="s">
        <v>2967</v>
      </c>
      <c r="H100" s="2390"/>
      <c r="I100" s="1173" t="s">
        <v>2968</v>
      </c>
      <c r="J100" s="2389"/>
      <c r="K100" s="2389"/>
      <c r="L100" s="2389"/>
      <c r="M100" s="2389"/>
      <c r="N100" s="1200">
        <v>2</v>
      </c>
      <c r="O100" s="1163"/>
    </row>
    <row r="101" spans="6:15" hidden="1">
      <c r="F101" s="1199">
        <v>0</v>
      </c>
      <c r="G101" s="2389" t="s">
        <v>2969</v>
      </c>
      <c r="H101" s="2390"/>
      <c r="I101" s="1173" t="s">
        <v>2970</v>
      </c>
      <c r="J101" s="2389"/>
      <c r="K101" s="2389"/>
      <c r="L101" s="2389"/>
      <c r="M101" s="2389"/>
      <c r="N101" s="1200">
        <v>1</v>
      </c>
      <c r="O101" s="1163"/>
    </row>
    <row r="102" spans="6:15" hidden="1">
      <c r="F102" s="1199">
        <v>0</v>
      </c>
      <c r="G102" s="2389" t="s">
        <v>2971</v>
      </c>
      <c r="H102" s="2390"/>
      <c r="I102" s="1173" t="s">
        <v>2972</v>
      </c>
      <c r="J102" s="2389"/>
      <c r="K102" s="2389"/>
      <c r="L102" s="2389"/>
      <c r="M102" s="2389"/>
      <c r="N102" s="1200">
        <v>2</v>
      </c>
      <c r="O102" s="1163"/>
    </row>
    <row r="103" spans="6:15" ht="14.25" hidden="1" thickBot="1">
      <c r="F103" s="1201">
        <v>0</v>
      </c>
      <c r="G103" s="1177" t="s">
        <v>2973</v>
      </c>
      <c r="H103" s="1178"/>
      <c r="I103" s="1176" t="s">
        <v>2974</v>
      </c>
      <c r="J103" s="1177"/>
      <c r="K103" s="1177"/>
      <c r="L103" s="1177"/>
      <c r="M103" s="1177"/>
      <c r="N103" s="2392">
        <v>1</v>
      </c>
      <c r="O103" s="1163"/>
    </row>
    <row r="104" spans="6:15" ht="14.25" hidden="1">
      <c r="F104" s="1191" t="s">
        <v>2975</v>
      </c>
      <c r="G104" s="3488">
        <f>SUM(F97:F103)</f>
        <v>7</v>
      </c>
      <c r="H104" s="3488"/>
      <c r="I104" s="3488"/>
      <c r="J104" s="2391"/>
      <c r="K104" s="1194"/>
      <c r="L104" s="2391"/>
      <c r="M104" s="1194"/>
      <c r="N104" s="1203"/>
      <c r="O104" s="1163"/>
    </row>
    <row r="105" spans="6:15" ht="14.25" hidden="1" thickBot="1">
      <c r="F105" s="995" t="s">
        <v>2976</v>
      </c>
      <c r="G105" s="2385"/>
      <c r="H105" s="2385"/>
      <c r="I105" s="2385"/>
      <c r="J105" s="2385"/>
      <c r="K105" s="2385"/>
      <c r="L105" s="2385"/>
      <c r="M105" s="2385"/>
      <c r="N105" s="2385"/>
      <c r="O105" s="1163"/>
    </row>
    <row r="106" spans="6:15" ht="14.25" hidden="1" thickBot="1">
      <c r="F106" s="1160" t="e">
        <f>IF(#REF!=$T$4,F80,ROUND(IF(G113&lt;=2,1,IF(G113&lt;=5,2,IF(G113&lt;=8,3,IF(G113&lt;=11,4,IF(G113&gt;=12,5))))),0))</f>
        <v>#REF!</v>
      </c>
      <c r="G106" s="1161" t="s">
        <v>1755</v>
      </c>
      <c r="H106" s="1161"/>
      <c r="I106" s="589" t="s">
        <v>2960</v>
      </c>
      <c r="J106" s="1161"/>
      <c r="K106" s="1161"/>
      <c r="L106" s="1161"/>
      <c r="M106" s="1161"/>
      <c r="N106" s="1196" t="s">
        <v>1756</v>
      </c>
      <c r="O106" s="1163"/>
    </row>
    <row r="107" spans="6:15" hidden="1">
      <c r="F107" s="1204">
        <v>3</v>
      </c>
      <c r="G107" s="1171" t="s">
        <v>2977</v>
      </c>
      <c r="H107" s="1172"/>
      <c r="I107" s="1170" t="s">
        <v>2978</v>
      </c>
      <c r="J107" s="1171"/>
      <c r="K107" s="1171"/>
      <c r="L107" s="1171"/>
      <c r="M107" s="1171"/>
      <c r="N107" s="1198">
        <v>3</v>
      </c>
      <c r="O107" s="1163"/>
    </row>
    <row r="108" spans="6:15" hidden="1">
      <c r="F108" s="1205">
        <v>3</v>
      </c>
      <c r="G108" s="2389" t="s">
        <v>2979</v>
      </c>
      <c r="H108" s="2390"/>
      <c r="I108" s="1173" t="s">
        <v>2980</v>
      </c>
      <c r="J108" s="2389"/>
      <c r="K108" s="2389"/>
      <c r="L108" s="2389"/>
      <c r="M108" s="2389"/>
      <c r="N108" s="1200">
        <v>3</v>
      </c>
      <c r="O108" s="1163"/>
    </row>
    <row r="109" spans="6:15" hidden="1">
      <c r="F109" s="1205">
        <v>3</v>
      </c>
      <c r="G109" s="2389" t="s">
        <v>2981</v>
      </c>
      <c r="H109" s="2390"/>
      <c r="I109" s="1173" t="s">
        <v>2982</v>
      </c>
      <c r="J109" s="2389"/>
      <c r="K109" s="2389"/>
      <c r="L109" s="2389"/>
      <c r="M109" s="2389"/>
      <c r="N109" s="1200">
        <v>3</v>
      </c>
      <c r="O109" s="1163"/>
    </row>
    <row r="110" spans="6:15" hidden="1">
      <c r="F110" s="1205">
        <v>0</v>
      </c>
      <c r="G110" s="2389" t="s">
        <v>2983</v>
      </c>
      <c r="H110" s="2390"/>
      <c r="I110" s="1173" t="s">
        <v>2984</v>
      </c>
      <c r="J110" s="2389"/>
      <c r="K110" s="2389"/>
      <c r="L110" s="2389"/>
      <c r="M110" s="2389"/>
      <c r="N110" s="1200">
        <v>2</v>
      </c>
      <c r="O110" s="1163"/>
    </row>
    <row r="111" spans="6:15" hidden="1">
      <c r="F111" s="1205">
        <v>0</v>
      </c>
      <c r="G111" s="2389" t="s">
        <v>2985</v>
      </c>
      <c r="H111" s="2390"/>
      <c r="I111" s="1173" t="s">
        <v>2986</v>
      </c>
      <c r="J111" s="2389"/>
      <c r="K111" s="2389"/>
      <c r="L111" s="2389"/>
      <c r="M111" s="2389"/>
      <c r="N111" s="1200">
        <v>1</v>
      </c>
      <c r="O111" s="1163"/>
    </row>
    <row r="112" spans="6:15" ht="14.25" hidden="1" thickBot="1">
      <c r="F112" s="1206">
        <v>0</v>
      </c>
      <c r="G112" s="1177" t="s">
        <v>2987</v>
      </c>
      <c r="H112" s="2390"/>
      <c r="I112" s="1173" t="s">
        <v>2988</v>
      </c>
      <c r="J112" s="2389"/>
      <c r="K112" s="2389"/>
      <c r="L112" s="2389"/>
      <c r="M112" s="2389"/>
      <c r="N112" s="1200">
        <v>1</v>
      </c>
      <c r="O112" s="1163"/>
    </row>
    <row r="113" spans="2:15" ht="14.25" hidden="1">
      <c r="F113" s="1191" t="s">
        <v>2975</v>
      </c>
      <c r="G113" s="3488">
        <f>SUM(F107:F112)</f>
        <v>9</v>
      </c>
      <c r="H113" s="3488"/>
      <c r="I113" s="3488"/>
      <c r="J113" s="2391"/>
      <c r="K113" s="1194"/>
      <c r="L113" s="2391"/>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1796</v>
      </c>
      <c r="G115" s="996"/>
      <c r="H115" s="1045"/>
      <c r="I115" s="1025"/>
      <c r="J115" s="999" t="str">
        <f>IF(OR(F117=0,J116=0),$R$3,"")</f>
        <v/>
      </c>
      <c r="K115" s="1163"/>
      <c r="L115" s="1043"/>
      <c r="M115" s="1163"/>
      <c r="N115" s="962"/>
      <c r="O115" s="962"/>
    </row>
    <row r="116" spans="2:15" ht="16.5" thickBot="1">
      <c r="D116" s="1404"/>
      <c r="E116" s="1143"/>
      <c r="F116" s="1065" t="s">
        <v>487</v>
      </c>
      <c r="G116" s="924"/>
      <c r="H116" s="925"/>
      <c r="I116" s="926" t="s">
        <v>1364</v>
      </c>
      <c r="J116" s="927">
        <f>重み!M76</f>
        <v>0.5</v>
      </c>
      <c r="K116" s="1066"/>
      <c r="L116" s="926" t="s">
        <v>1324</v>
      </c>
      <c r="M116" s="1164">
        <f>メイン!$J$66</f>
        <v>30000</v>
      </c>
      <c r="N116" s="1165" t="s">
        <v>1325</v>
      </c>
      <c r="O116" s="1166"/>
    </row>
    <row r="117" spans="2:15" ht="27" customHeight="1" thickBot="1">
      <c r="B117" s="1167" t="s">
        <v>1326</v>
      </c>
      <c r="E117" s="1143"/>
      <c r="F117" s="2051">
        <f>IF(J116=0,0,F125)</f>
        <v>3</v>
      </c>
      <c r="G117" s="1046" t="s">
        <v>1797</v>
      </c>
      <c r="H117" s="935"/>
      <c r="I117" s="935"/>
      <c r="J117" s="936"/>
      <c r="K117" s="935"/>
      <c r="L117" s="935"/>
      <c r="M117" s="936"/>
      <c r="N117" s="1168" t="s">
        <v>123</v>
      </c>
      <c r="O117" s="1051"/>
    </row>
    <row r="118" spans="2:15" ht="21" customHeight="1">
      <c r="B118" s="1" t="s">
        <v>228</v>
      </c>
      <c r="C118" s="1">
        <v>1</v>
      </c>
      <c r="E118" s="918"/>
      <c r="F118" s="937" t="str">
        <f>IF(F117=$S$15,$T$10,IF(ROUNDDOWN(F117,0)=$S$10,$U$10,$T$10))</f>
        <v>　レベル　1</v>
      </c>
      <c r="G118" s="946" t="s">
        <v>1311</v>
      </c>
      <c r="H118" s="1171"/>
      <c r="I118" s="1171"/>
      <c r="J118" s="1171"/>
      <c r="K118" s="1171"/>
      <c r="L118" s="1171"/>
      <c r="M118" s="1172"/>
      <c r="N118" s="3489" t="s">
        <v>3363</v>
      </c>
      <c r="O118" s="3490"/>
    </row>
    <row r="119" spans="2:15" ht="27.75" customHeight="1">
      <c r="B119" s="1">
        <v>2</v>
      </c>
      <c r="C119" s="1">
        <v>2</v>
      </c>
      <c r="E119" s="918"/>
      <c r="F119" s="942" t="str">
        <f>IF(F117=$S$15,$T$11,IF(ROUNDDOWN(F117,0)=$S$11,$U$11,$T$11))</f>
        <v>　レベル　2</v>
      </c>
      <c r="G119" s="946" t="s">
        <v>1885</v>
      </c>
      <c r="H119" s="1174"/>
      <c r="I119" s="1174"/>
      <c r="J119" s="1174"/>
      <c r="K119" s="1174"/>
      <c r="L119" s="1174"/>
      <c r="M119" s="1175"/>
      <c r="N119" s="3491"/>
      <c r="O119" s="3490"/>
    </row>
    <row r="120" spans="2:15" ht="27.75" customHeight="1">
      <c r="B120" s="1">
        <v>3</v>
      </c>
      <c r="C120" s="1">
        <v>3</v>
      </c>
      <c r="E120" s="918"/>
      <c r="F120" s="942" t="str">
        <f>IF(F117=$S$15,$T$12,IF(ROUNDDOWN(F117,0)=$S$12,$U$12,$T$12))</f>
        <v>■レベル　3</v>
      </c>
      <c r="G120" s="946" t="s">
        <v>1886</v>
      </c>
      <c r="H120" s="1174"/>
      <c r="I120" s="1174"/>
      <c r="J120" s="1174"/>
      <c r="K120" s="1174"/>
      <c r="L120" s="1174"/>
      <c r="M120" s="1175"/>
      <c r="N120" s="3491"/>
      <c r="O120" s="3490"/>
    </row>
    <row r="121" spans="2:15" ht="27.75" customHeight="1">
      <c r="B121" s="1">
        <v>4</v>
      </c>
      <c r="C121" s="1">
        <v>4</v>
      </c>
      <c r="E121" s="918"/>
      <c r="F121" s="942" t="str">
        <f>IF(F117=$S$15,$T$13,IF(ROUNDDOWN(F117,0)=$S$13,$U$13,$T$13))</f>
        <v>　レベル　4</v>
      </c>
      <c r="G121" s="3385" t="s">
        <v>1887</v>
      </c>
      <c r="H121" s="3402"/>
      <c r="I121" s="3402"/>
      <c r="J121" s="3402"/>
      <c r="K121" s="3402"/>
      <c r="L121" s="3402"/>
      <c r="M121" s="3429"/>
      <c r="N121" s="3491"/>
      <c r="O121" s="3490"/>
    </row>
    <row r="122" spans="2:15" ht="27.75" customHeight="1" thickBot="1">
      <c r="B122" s="1">
        <v>5</v>
      </c>
      <c r="C122" s="1">
        <v>5</v>
      </c>
      <c r="E122" s="918"/>
      <c r="F122" s="953" t="str">
        <f>IF(F117=$S$15,$T$14,IF(ROUNDDOWN(F117,0)=$S$14,$U$14,$T$14))</f>
        <v>　レベル　5</v>
      </c>
      <c r="G122" s="3383" t="s">
        <v>1888</v>
      </c>
      <c r="H122" s="3407"/>
      <c r="I122" s="3407"/>
      <c r="J122" s="3407"/>
      <c r="K122" s="3407"/>
      <c r="L122" s="3407"/>
      <c r="M122" s="3413"/>
      <c r="N122" s="3492"/>
      <c r="O122" s="3493"/>
    </row>
    <row r="123" spans="2:15" ht="16.5" thickBot="1">
      <c r="B123" s="960">
        <v>0</v>
      </c>
      <c r="C123" s="960">
        <v>0</v>
      </c>
      <c r="E123" s="918"/>
      <c r="F123" s="930">
        <v>0</v>
      </c>
      <c r="G123" s="1158" t="s">
        <v>2666</v>
      </c>
      <c r="H123" s="2777" t="s">
        <v>3339</v>
      </c>
      <c r="I123" s="1179"/>
      <c r="J123" s="1180"/>
      <c r="K123" s="1180"/>
      <c r="L123" s="995"/>
      <c r="M123" s="995"/>
      <c r="N123" s="995"/>
      <c r="O123" s="995"/>
    </row>
    <row r="124" spans="2:15" ht="16.5" thickBot="1">
      <c r="B124" t="s">
        <v>779</v>
      </c>
      <c r="D124" s="908"/>
      <c r="E124" s="908"/>
      <c r="F124" s="2834" t="s">
        <v>2678</v>
      </c>
      <c r="I124" s="1159"/>
      <c r="K124" s="1163"/>
      <c r="L124" s="1163"/>
      <c r="M124" s="1163"/>
      <c r="N124" s="1163"/>
      <c r="O124" s="962"/>
    </row>
    <row r="125" spans="2:15" ht="27" customHeight="1" thickBot="1">
      <c r="D125" s="908"/>
      <c r="E125" s="908"/>
      <c r="F125" s="2051">
        <f>IF(H123=$T$4,F123,IF(G139&lt;=3,2,IF(G139&lt;=6,3,IF(G139&lt;=9,4,5))))</f>
        <v>3</v>
      </c>
      <c r="G125" s="589" t="s">
        <v>1312</v>
      </c>
      <c r="H125" s="1161"/>
      <c r="I125" s="1161"/>
      <c r="J125" s="1161"/>
      <c r="K125" s="1161"/>
      <c r="L125" s="589" t="s">
        <v>2597</v>
      </c>
      <c r="M125" s="1161"/>
      <c r="N125" s="1161"/>
      <c r="O125" s="1181"/>
    </row>
    <row r="126" spans="2:15" ht="27.75" customHeight="1">
      <c r="D126" s="908"/>
      <c r="E126" s="559"/>
      <c r="F126" s="2875"/>
      <c r="G126" s="1207" t="s">
        <v>1889</v>
      </c>
      <c r="H126" s="1208"/>
      <c r="I126" s="1208"/>
      <c r="J126" s="1208"/>
      <c r="K126" s="1208"/>
      <c r="L126" s="3403" t="s">
        <v>2598</v>
      </c>
      <c r="M126" s="3391"/>
      <c r="N126" s="3391"/>
      <c r="O126" s="3553"/>
    </row>
    <row r="127" spans="2:15" ht="27.75" customHeight="1">
      <c r="D127" s="908"/>
      <c r="E127" s="559"/>
      <c r="F127" s="1026" t="s">
        <v>2671</v>
      </c>
      <c r="G127" s="3470" t="s">
        <v>1890</v>
      </c>
      <c r="H127" s="3536"/>
      <c r="I127" s="3536"/>
      <c r="J127" s="3536"/>
      <c r="K127" s="3537"/>
      <c r="L127" s="3403" t="s">
        <v>2599</v>
      </c>
      <c r="M127" s="3391"/>
      <c r="N127" s="3391"/>
      <c r="O127" s="3386"/>
    </row>
    <row r="128" spans="2:15" ht="49.5" customHeight="1">
      <c r="D128" s="908"/>
      <c r="E128" s="559"/>
      <c r="F128" s="1026" t="s">
        <v>2671</v>
      </c>
      <c r="G128" s="3470" t="s">
        <v>2600</v>
      </c>
      <c r="H128" s="3503"/>
      <c r="I128" s="3503"/>
      <c r="J128" s="3503"/>
      <c r="K128" s="3504"/>
      <c r="L128" s="3403" t="s">
        <v>30</v>
      </c>
      <c r="M128" s="3391"/>
      <c r="N128" s="3391"/>
      <c r="O128" s="3386"/>
    </row>
    <row r="129" spans="2:15" ht="27.75" customHeight="1">
      <c r="D129" s="908"/>
      <c r="E129" s="559"/>
      <c r="F129" s="1026" t="s">
        <v>2671</v>
      </c>
      <c r="G129" s="1207" t="s">
        <v>2601</v>
      </c>
      <c r="H129" s="1208"/>
      <c r="I129" s="1208"/>
      <c r="J129" s="1208"/>
      <c r="K129" s="1208"/>
      <c r="L129" s="3403" t="s">
        <v>2602</v>
      </c>
      <c r="M129" s="3391"/>
      <c r="N129" s="3391"/>
      <c r="O129" s="3386"/>
    </row>
    <row r="130" spans="2:15" ht="27.75" customHeight="1">
      <c r="D130" s="908"/>
      <c r="E130" s="559"/>
      <c r="F130" s="1026" t="s">
        <v>2671</v>
      </c>
      <c r="G130" s="3470" t="s">
        <v>1758</v>
      </c>
      <c r="H130" s="3420"/>
      <c r="I130" s="3420"/>
      <c r="J130" s="3420"/>
      <c r="K130" s="3421"/>
      <c r="L130" s="3403" t="s">
        <v>1759</v>
      </c>
      <c r="M130" s="3391"/>
      <c r="N130" s="3391"/>
      <c r="O130" s="3386"/>
    </row>
    <row r="131" spans="2:15" ht="27.75" customHeight="1">
      <c r="D131" s="908"/>
      <c r="E131" s="559"/>
      <c r="F131" s="1026"/>
      <c r="G131" s="1207" t="s">
        <v>2603</v>
      </c>
      <c r="H131" s="1208"/>
      <c r="I131" s="1208"/>
      <c r="J131" s="1208"/>
      <c r="K131" s="1208"/>
      <c r="L131" s="3403" t="s">
        <v>1776</v>
      </c>
      <c r="M131" s="3391"/>
      <c r="N131" s="3391"/>
      <c r="O131" s="3386"/>
    </row>
    <row r="132" spans="2:15" ht="27.75" customHeight="1">
      <c r="D132" s="908"/>
      <c r="E132" s="559"/>
      <c r="F132" s="1026"/>
      <c r="G132" s="3470" t="s">
        <v>712</v>
      </c>
      <c r="H132" s="3420"/>
      <c r="I132" s="3420"/>
      <c r="J132" s="3420"/>
      <c r="K132" s="3421"/>
      <c r="L132" s="3403" t="s">
        <v>713</v>
      </c>
      <c r="M132" s="3391"/>
      <c r="N132" s="3391"/>
      <c r="O132" s="3386"/>
    </row>
    <row r="133" spans="2:15" ht="27.75" customHeight="1">
      <c r="D133" s="908"/>
      <c r="E133" s="559"/>
      <c r="F133" s="1026"/>
      <c r="G133" s="3470" t="s">
        <v>2604</v>
      </c>
      <c r="H133" s="3420"/>
      <c r="I133" s="3420"/>
      <c r="J133" s="3420"/>
      <c r="K133" s="3421"/>
      <c r="L133" s="3403" t="s">
        <v>507</v>
      </c>
      <c r="M133" s="3391"/>
      <c r="N133" s="3391"/>
      <c r="O133" s="3386"/>
    </row>
    <row r="134" spans="2:15" ht="27.75" customHeight="1">
      <c r="D134" s="908"/>
      <c r="E134" s="559"/>
      <c r="F134" s="1026"/>
      <c r="G134" s="1207" t="s">
        <v>508</v>
      </c>
      <c r="H134" s="1208"/>
      <c r="I134" s="1208"/>
      <c r="J134" s="1208"/>
      <c r="K134" s="1208"/>
      <c r="L134" s="3403" t="s">
        <v>714</v>
      </c>
      <c r="M134" s="3391"/>
      <c r="N134" s="3391"/>
      <c r="O134" s="3386"/>
    </row>
    <row r="135" spans="2:15" ht="27.75" customHeight="1">
      <c r="D135" s="908"/>
      <c r="E135" s="559"/>
      <c r="F135" s="1026"/>
      <c r="G135" s="3470" t="s">
        <v>509</v>
      </c>
      <c r="H135" s="3503"/>
      <c r="I135" s="3503"/>
      <c r="J135" s="3503"/>
      <c r="K135" s="3504"/>
      <c r="L135" s="3403" t="s">
        <v>132</v>
      </c>
      <c r="M135" s="3391"/>
      <c r="N135" s="3391"/>
      <c r="O135" s="3386"/>
    </row>
    <row r="136" spans="2:15" ht="27.75" customHeight="1">
      <c r="D136" s="908"/>
      <c r="E136" s="559"/>
      <c r="F136" s="1026"/>
      <c r="G136" s="1207" t="s">
        <v>133</v>
      </c>
      <c r="H136" s="1208"/>
      <c r="I136" s="1208"/>
      <c r="J136" s="1208"/>
      <c r="K136" s="1208"/>
      <c r="L136" s="3403" t="s">
        <v>1631</v>
      </c>
      <c r="M136" s="3391"/>
      <c r="N136" s="3391"/>
      <c r="O136" s="3386"/>
    </row>
    <row r="137" spans="2:15" ht="27.75" customHeight="1">
      <c r="D137" s="908"/>
      <c r="E137" s="559"/>
      <c r="F137" s="1026"/>
      <c r="G137" s="1207" t="s">
        <v>1632</v>
      </c>
      <c r="H137" s="1208"/>
      <c r="I137" s="1208"/>
      <c r="J137" s="1208"/>
      <c r="K137" s="1208"/>
      <c r="L137" s="3403" t="s">
        <v>1633</v>
      </c>
      <c r="M137" s="3391"/>
      <c r="N137" s="3391"/>
      <c r="O137" s="3386"/>
    </row>
    <row r="138" spans="2:15" ht="27.75" customHeight="1" thickBot="1">
      <c r="D138" s="908"/>
      <c r="E138" s="559"/>
      <c r="F138" s="1033"/>
      <c r="G138" s="3505" t="s">
        <v>1634</v>
      </c>
      <c r="H138" s="3506"/>
      <c r="I138" s="3506"/>
      <c r="J138" s="3506"/>
      <c r="K138" s="3507"/>
      <c r="L138" s="3403" t="s">
        <v>1635</v>
      </c>
      <c r="M138" s="3391"/>
      <c r="N138" s="3391"/>
      <c r="O138" s="3386"/>
    </row>
    <row r="139" spans="2:15" ht="15.7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715</v>
      </c>
      <c r="F141" s="1157" t="s">
        <v>2678</v>
      </c>
      <c r="G141" s="995"/>
      <c r="H141" s="1179"/>
      <c r="I141" s="1180"/>
      <c r="J141" s="1180"/>
      <c r="K141" s="995"/>
      <c r="L141" s="1163"/>
      <c r="M141" s="1163"/>
      <c r="N141" s="995"/>
      <c r="O141" s="1163"/>
    </row>
    <row r="142" spans="2:15" hidden="1">
      <c r="F142" s="1211" t="s">
        <v>1636</v>
      </c>
      <c r="G142" s="3478" t="s">
        <v>716</v>
      </c>
      <c r="H142" s="3479"/>
      <c r="I142" s="3480" t="s">
        <v>717</v>
      </c>
      <c r="J142" s="3480"/>
      <c r="K142" s="3480"/>
      <c r="L142" s="3480"/>
      <c r="M142" s="3480"/>
      <c r="N142" s="995"/>
      <c r="O142" s="1163"/>
    </row>
    <row r="143" spans="2:15" hidden="1">
      <c r="F143" s="1211" t="s">
        <v>1637</v>
      </c>
      <c r="G143" s="3478" t="s">
        <v>2040</v>
      </c>
      <c r="H143" s="3479"/>
      <c r="I143" s="3480" t="s">
        <v>692</v>
      </c>
      <c r="J143" s="3480"/>
      <c r="K143" s="3480"/>
      <c r="L143" s="3480"/>
      <c r="M143" s="3480"/>
      <c r="N143" s="995"/>
      <c r="O143" s="1163"/>
    </row>
    <row r="144" spans="2:15" ht="14.25" hidden="1" thickBot="1">
      <c r="F144" s="1211" t="s">
        <v>1638</v>
      </c>
      <c r="G144" s="3478" t="s">
        <v>693</v>
      </c>
      <c r="H144" s="3479"/>
      <c r="I144" s="3480" t="s">
        <v>694</v>
      </c>
      <c r="J144" s="3480"/>
      <c r="K144" s="3480"/>
      <c r="L144" s="3480"/>
      <c r="M144" s="3480"/>
      <c r="N144" s="995"/>
      <c r="O144" s="1163"/>
    </row>
    <row r="145" spans="2:15" ht="14.25" hidden="1" thickBot="1">
      <c r="B145" s="1114" t="s">
        <v>778</v>
      </c>
      <c r="F145" s="995" t="s">
        <v>2959</v>
      </c>
      <c r="G145" s="2393"/>
      <c r="H145" s="2393"/>
      <c r="I145" s="3554" t="s">
        <v>1864</v>
      </c>
      <c r="J145" s="3555"/>
      <c r="K145" s="3556"/>
      <c r="L145" s="1180" t="s">
        <v>2989</v>
      </c>
      <c r="M145" s="1180"/>
      <c r="N145" s="995"/>
      <c r="O145" s="2393"/>
    </row>
    <row r="146" spans="2:15" ht="14.25" hidden="1" thickBot="1">
      <c r="F146" s="1160">
        <f>IF(H125=$T$4,F125,ROUND(IF(G158&lt;=1,2,IF(G158&lt;=4,3,IF(G158&lt;=8,4,IF(G158&gt;=9,5)))),0))</f>
        <v>3</v>
      </c>
      <c r="G146" s="589" t="s">
        <v>1755</v>
      </c>
      <c r="H146" s="589" t="s">
        <v>2990</v>
      </c>
      <c r="I146" s="1161"/>
      <c r="J146" s="1161"/>
      <c r="K146" s="1221" t="s">
        <v>1756</v>
      </c>
      <c r="L146" s="589" t="s">
        <v>2990</v>
      </c>
      <c r="M146" s="1161"/>
      <c r="N146" s="1161"/>
      <c r="O146" s="1088" t="s">
        <v>1756</v>
      </c>
    </row>
    <row r="147" spans="2:15" hidden="1">
      <c r="F147" s="1204">
        <v>1</v>
      </c>
      <c r="G147" s="589" t="s">
        <v>377</v>
      </c>
      <c r="H147" s="3383" t="s">
        <v>2991</v>
      </c>
      <c r="I147" s="3473"/>
      <c r="J147" s="3474"/>
      <c r="K147" s="1221">
        <v>1</v>
      </c>
      <c r="L147" s="3383" t="s">
        <v>2992</v>
      </c>
      <c r="M147" s="3473"/>
      <c r="N147" s="3474"/>
      <c r="O147" s="2394">
        <v>1</v>
      </c>
    </row>
    <row r="148" spans="2:15" hidden="1">
      <c r="F148" s="1205">
        <v>3</v>
      </c>
      <c r="G148" s="1212" t="s">
        <v>378</v>
      </c>
      <c r="H148" s="3475" t="s">
        <v>2993</v>
      </c>
      <c r="I148" s="3471"/>
      <c r="J148" s="3472"/>
      <c r="K148" s="1200">
        <v>3</v>
      </c>
      <c r="L148" s="3385" t="s">
        <v>2994</v>
      </c>
      <c r="M148" s="3471"/>
      <c r="N148" s="3472"/>
      <c r="O148" s="1319" t="s">
        <v>2994</v>
      </c>
    </row>
    <row r="149" spans="2:15" hidden="1">
      <c r="F149" s="1205">
        <v>0</v>
      </c>
      <c r="G149" s="1213"/>
      <c r="H149" s="3385" t="s">
        <v>2995</v>
      </c>
      <c r="I149" s="3471"/>
      <c r="J149" s="3472"/>
      <c r="K149" s="1200">
        <v>3</v>
      </c>
      <c r="L149" s="3385" t="s">
        <v>2994</v>
      </c>
      <c r="M149" s="3471"/>
      <c r="N149" s="3472"/>
      <c r="O149" s="1200" t="s">
        <v>2994</v>
      </c>
    </row>
    <row r="150" spans="2:15" hidden="1">
      <c r="F150" s="1205">
        <v>2</v>
      </c>
      <c r="G150" s="1213"/>
      <c r="H150" s="3385" t="s">
        <v>2994</v>
      </c>
      <c r="I150" s="3471"/>
      <c r="J150" s="3472"/>
      <c r="K150" s="1200" t="s">
        <v>2994</v>
      </c>
      <c r="L150" s="3385" t="s">
        <v>2996</v>
      </c>
      <c r="M150" s="3471"/>
      <c r="N150" s="3472"/>
      <c r="O150" s="1200">
        <v>2</v>
      </c>
    </row>
    <row r="151" spans="2:15" hidden="1">
      <c r="F151" s="1205">
        <v>0</v>
      </c>
      <c r="G151" s="1214"/>
      <c r="H151" s="3383" t="s">
        <v>2994</v>
      </c>
      <c r="I151" s="3473"/>
      <c r="J151" s="3474"/>
      <c r="K151" s="1221" t="s">
        <v>2994</v>
      </c>
      <c r="L151" s="3383" t="s">
        <v>2997</v>
      </c>
      <c r="M151" s="3473"/>
      <c r="N151" s="3474"/>
      <c r="O151" s="1221">
        <v>1</v>
      </c>
    </row>
    <row r="152" spans="2:15" hidden="1">
      <c r="F152" s="1205">
        <v>0</v>
      </c>
      <c r="G152" s="1212" t="s">
        <v>379</v>
      </c>
      <c r="H152" s="3381" t="s">
        <v>2998</v>
      </c>
      <c r="I152" s="3476"/>
      <c r="J152" s="3477"/>
      <c r="K152" s="1319">
        <v>1</v>
      </c>
      <c r="L152" s="3381" t="s">
        <v>2999</v>
      </c>
      <c r="M152" s="3476"/>
      <c r="N152" s="3477"/>
      <c r="O152" s="1319">
        <v>1</v>
      </c>
    </row>
    <row r="153" spans="2:15" hidden="1">
      <c r="F153" s="1205">
        <v>0</v>
      </c>
      <c r="G153" s="1213"/>
      <c r="H153" s="3385" t="s">
        <v>3000</v>
      </c>
      <c r="I153" s="3471"/>
      <c r="J153" s="3472"/>
      <c r="K153" s="1200">
        <v>2</v>
      </c>
      <c r="L153" s="3385" t="s">
        <v>3001</v>
      </c>
      <c r="M153" s="3471"/>
      <c r="N153" s="3472"/>
      <c r="O153" s="1200">
        <v>2</v>
      </c>
    </row>
    <row r="154" spans="2:15" hidden="1">
      <c r="F154" s="1205">
        <v>1</v>
      </c>
      <c r="G154" s="1214"/>
      <c r="H154" s="3383" t="s">
        <v>2994</v>
      </c>
      <c r="I154" s="3473"/>
      <c r="J154" s="3474"/>
      <c r="K154" s="1221">
        <v>1</v>
      </c>
      <c r="L154" s="3383" t="s">
        <v>3002</v>
      </c>
      <c r="M154" s="3473"/>
      <c r="N154" s="3474"/>
      <c r="O154" s="1221">
        <v>1</v>
      </c>
    </row>
    <row r="155" spans="2:15" hidden="1">
      <c r="F155" s="1205">
        <v>0</v>
      </c>
      <c r="G155" s="1212" t="s">
        <v>1757</v>
      </c>
      <c r="H155" s="3381" t="s">
        <v>583</v>
      </c>
      <c r="I155" s="3476"/>
      <c r="J155" s="3477"/>
      <c r="K155" s="1319">
        <v>1</v>
      </c>
      <c r="L155" s="3381" t="s">
        <v>3003</v>
      </c>
      <c r="M155" s="3476"/>
      <c r="N155" s="3477"/>
      <c r="O155" s="1319">
        <v>1</v>
      </c>
    </row>
    <row r="156" spans="2:15" hidden="1">
      <c r="F156" s="1205">
        <v>0</v>
      </c>
      <c r="G156" s="1214"/>
      <c r="H156" s="3383" t="s">
        <v>2994</v>
      </c>
      <c r="I156" s="3473"/>
      <c r="J156" s="3474"/>
      <c r="K156" s="1221">
        <v>1</v>
      </c>
      <c r="L156" s="3383" t="s">
        <v>3004</v>
      </c>
      <c r="M156" s="3473"/>
      <c r="N156" s="3474"/>
      <c r="O156" s="1221">
        <v>1</v>
      </c>
    </row>
    <row r="157" spans="2:15" ht="14.25" hidden="1" thickBot="1">
      <c r="F157" s="1206">
        <v>0</v>
      </c>
      <c r="G157" s="589" t="s">
        <v>584</v>
      </c>
      <c r="H157" s="3383" t="s">
        <v>585</v>
      </c>
      <c r="I157" s="3473"/>
      <c r="J157" s="3474"/>
      <c r="K157" s="2392">
        <v>2</v>
      </c>
      <c r="L157" s="3383" t="s">
        <v>3005</v>
      </c>
      <c r="M157" s="3473"/>
      <c r="N157" s="3474"/>
      <c r="O157" s="2395">
        <v>2</v>
      </c>
    </row>
    <row r="158" spans="2:15" ht="14.25" hidden="1">
      <c r="F158" s="2768" t="s">
        <v>3006</v>
      </c>
      <c r="G158" s="1209">
        <f>IF($I$145=$V$4,SUM(F147:F149,F152:F153,F155,F157),SUM(F147,F150:F157))</f>
        <v>4</v>
      </c>
      <c r="H158" s="2826" t="s">
        <v>3342</v>
      </c>
      <c r="I158" s="2387"/>
      <c r="J158" s="2391"/>
      <c r="K158" s="1203"/>
      <c r="L158" s="1194"/>
      <c r="M158" s="2391"/>
      <c r="N158" s="1194"/>
      <c r="O158" s="1203"/>
    </row>
    <row r="159" spans="2:15" hidden="1">
      <c r="F159" s="1115" t="s">
        <v>489</v>
      </c>
      <c r="G159" s="1116"/>
      <c r="H159" s="1116"/>
      <c r="I159" s="1116"/>
      <c r="J159" s="1116"/>
      <c r="K159" s="1116"/>
      <c r="L159" s="1116"/>
      <c r="M159" s="1116"/>
      <c r="N159" s="1116"/>
      <c r="O159" s="1163"/>
    </row>
    <row r="160" spans="2:15" hidden="1">
      <c r="F160" s="1117" t="s">
        <v>2848</v>
      </c>
      <c r="G160" s="1118"/>
      <c r="H160" s="1117" t="s">
        <v>586</v>
      </c>
      <c r="I160" s="1118"/>
      <c r="J160" s="1118"/>
      <c r="K160" s="1118"/>
      <c r="L160" s="1118"/>
      <c r="M160" s="1118"/>
      <c r="N160" s="1119"/>
      <c r="O160" s="1163"/>
    </row>
    <row r="161" spans="2:15" hidden="1">
      <c r="F161" s="1117" t="s">
        <v>3007</v>
      </c>
      <c r="G161" s="1118"/>
      <c r="H161" s="1117" t="s">
        <v>3008</v>
      </c>
      <c r="I161" s="1118"/>
      <c r="J161" s="1118"/>
      <c r="K161" s="1118"/>
      <c r="L161" s="1118"/>
      <c r="M161" s="1118"/>
      <c r="N161" s="1119"/>
      <c r="O161" s="1163"/>
    </row>
    <row r="162" spans="2:15" hidden="1">
      <c r="F162" s="2396" t="s">
        <v>587</v>
      </c>
      <c r="G162" s="2397"/>
      <c r="H162" s="3557" t="s">
        <v>3009</v>
      </c>
      <c r="I162" s="3558"/>
      <c r="J162" s="3478" t="s">
        <v>3010</v>
      </c>
      <c r="K162" s="3559"/>
      <c r="L162" s="3559"/>
      <c r="M162" s="3559"/>
      <c r="N162" s="3479"/>
      <c r="O162" s="1163"/>
    </row>
    <row r="163" spans="2:15" hidden="1">
      <c r="F163" s="2398"/>
      <c r="G163" s="2399"/>
      <c r="H163" s="3478" t="s">
        <v>3011</v>
      </c>
      <c r="I163" s="3479"/>
      <c r="J163" s="3478" t="s">
        <v>3012</v>
      </c>
      <c r="K163" s="3560"/>
      <c r="L163" s="3560"/>
      <c r="M163" s="3560"/>
      <c r="N163" s="3561"/>
      <c r="O163" s="1163"/>
    </row>
    <row r="164" spans="2:15" hidden="1">
      <c r="F164" s="1117" t="s">
        <v>588</v>
      </c>
      <c r="G164" s="1118"/>
      <c r="H164" s="2400" t="s">
        <v>3013</v>
      </c>
      <c r="I164" s="1117"/>
      <c r="J164" s="1118"/>
      <c r="K164" s="1118"/>
      <c r="L164" s="1118"/>
      <c r="M164" s="1118"/>
      <c r="N164" s="1119"/>
      <c r="O164" s="1163"/>
    </row>
    <row r="165" spans="2:15" hidden="1">
      <c r="F165" s="1117" t="s">
        <v>589</v>
      </c>
      <c r="G165" s="1118"/>
      <c r="H165" s="2400" t="s">
        <v>3014</v>
      </c>
      <c r="I165" s="1117"/>
      <c r="J165" s="1118"/>
      <c r="K165" s="1118"/>
      <c r="L165" s="1118"/>
      <c r="M165" s="1118"/>
      <c r="N165" s="1119"/>
      <c r="O165" s="1163"/>
    </row>
    <row r="166" spans="2:15" s="2385" customFormat="1" hidden="1">
      <c r="D166" s="2277"/>
      <c r="E166" s="132"/>
      <c r="F166" s="1117" t="s">
        <v>590</v>
      </c>
      <c r="G166" s="2401"/>
      <c r="H166" s="3478" t="s">
        <v>3015</v>
      </c>
      <c r="I166" s="3559"/>
      <c r="J166" s="3559"/>
      <c r="K166" s="3559"/>
      <c r="L166" s="3559"/>
      <c r="M166" s="3559"/>
      <c r="N166" s="3479"/>
      <c r="O166" s="1163"/>
    </row>
    <row r="167" spans="2:15" ht="15.75">
      <c r="D167" s="908"/>
      <c r="E167" s="559"/>
      <c r="F167" s="1116"/>
      <c r="G167" s="995"/>
      <c r="H167" s="995"/>
      <c r="I167" s="995"/>
      <c r="J167" s="995"/>
      <c r="K167" s="1040"/>
      <c r="L167" s="1040"/>
      <c r="M167" s="962"/>
      <c r="N167" s="962"/>
      <c r="O167" s="962"/>
    </row>
    <row r="168" spans="2:15" ht="15.75">
      <c r="B168" s="1114" t="s">
        <v>778</v>
      </c>
      <c r="D168" s="908"/>
      <c r="E168" s="559"/>
      <c r="F168" s="1084" t="s">
        <v>591</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402"/>
      <c r="I169" s="926" t="s">
        <v>1364</v>
      </c>
      <c r="J169" s="927">
        <f>重み!M77</f>
        <v>0</v>
      </c>
      <c r="K169" s="1066"/>
      <c r="L169" s="926" t="s">
        <v>1324</v>
      </c>
      <c r="M169" s="1164">
        <f>メイン!$J$66</f>
        <v>30000</v>
      </c>
      <c r="N169" s="2403"/>
      <c r="O169" s="2404"/>
    </row>
    <row r="170" spans="2:15" ht="16.5" hidden="1" thickBot="1">
      <c r="D170" s="1404"/>
      <c r="E170" s="1143"/>
      <c r="F170" s="2051">
        <f>IF(J169=0,0,F178)</f>
        <v>0</v>
      </c>
      <c r="G170" s="1046" t="s">
        <v>923</v>
      </c>
      <c r="H170" s="935"/>
      <c r="I170" s="935"/>
      <c r="J170" s="936"/>
      <c r="K170" s="935"/>
      <c r="L170" s="935"/>
      <c r="M170" s="935"/>
      <c r="N170" s="1168" t="s">
        <v>1325</v>
      </c>
      <c r="O170" s="1051"/>
    </row>
    <row r="171" spans="2:15" ht="15.75" hidden="1">
      <c r="D171" s="908"/>
      <c r="E171" s="918"/>
      <c r="F171" s="937" t="str">
        <f>IF(F170=$S$15,$T$10,IF(ROUNDDOWN(F170,0)=$S$10,$U$10,$T$10))</f>
        <v>　レベル　1</v>
      </c>
      <c r="G171" s="1170" t="s">
        <v>3016</v>
      </c>
      <c r="H171" s="1171"/>
      <c r="I171" s="1171"/>
      <c r="J171" s="1171"/>
      <c r="K171" s="1171"/>
      <c r="L171" s="1171"/>
      <c r="M171" s="1171"/>
      <c r="N171" s="3489" t="s">
        <v>3017</v>
      </c>
      <c r="O171" s="3523"/>
    </row>
    <row r="172" spans="2:15" ht="15.75" hidden="1">
      <c r="D172" s="908"/>
      <c r="E172" s="918"/>
      <c r="F172" s="942" t="str">
        <f>IF(F170=$S$15,$T$11,IF(ROUNDDOWN(F170,0)=$S$11,$U$11,$T$11))</f>
        <v>　レベル　2</v>
      </c>
      <c r="G172" s="2388" t="s">
        <v>3018</v>
      </c>
      <c r="H172" s="2389"/>
      <c r="I172" s="2389"/>
      <c r="J172" s="2389"/>
      <c r="K172" s="2389"/>
      <c r="L172" s="2389"/>
      <c r="M172" s="2389"/>
      <c r="N172" s="3524"/>
      <c r="O172" s="3523"/>
    </row>
    <row r="173" spans="2:15" ht="15.75" hidden="1">
      <c r="D173" s="908"/>
      <c r="E173" s="918"/>
      <c r="F173" s="942" t="str">
        <f>IF(F170=$S$15,$T$12,IF(ROUNDDOWN(F170,0)=$S$12,$U$12,$T$12))</f>
        <v>　レベル　3</v>
      </c>
      <c r="G173" s="2388" t="s">
        <v>924</v>
      </c>
      <c r="H173" s="2389"/>
      <c r="I173" s="2389"/>
      <c r="J173" s="2389"/>
      <c r="K173" s="2389"/>
      <c r="L173" s="2389"/>
      <c r="M173" s="2389"/>
      <c r="N173" s="3524"/>
      <c r="O173" s="3523"/>
    </row>
    <row r="174" spans="2:15" ht="15.75" hidden="1">
      <c r="D174" s="908"/>
      <c r="E174" s="918"/>
      <c r="F174" s="942" t="str">
        <f>IF(F170=$S$15,$T$13,IF(ROUNDDOWN(F170,0)=$S$13,$U$13,$T$13))</f>
        <v>　レベル　4</v>
      </c>
      <c r="G174" s="1173" t="s">
        <v>925</v>
      </c>
      <c r="H174" s="2389"/>
      <c r="I174" s="2389"/>
      <c r="J174" s="2389"/>
      <c r="K174" s="2389"/>
      <c r="L174" s="2389"/>
      <c r="M174" s="2389"/>
      <c r="N174" s="3524"/>
      <c r="O174" s="3523"/>
    </row>
    <row r="175" spans="2:15" ht="16.5" hidden="1" thickBot="1">
      <c r="D175" s="908"/>
      <c r="E175" s="918"/>
      <c r="F175" s="953" t="str">
        <f>IF(F170=$S$15,$T$14,IF(ROUNDDOWN(F170,0)=$S$14,$U$14,$T$14))</f>
        <v>　レベル　5</v>
      </c>
      <c r="G175" s="1176" t="s">
        <v>926</v>
      </c>
      <c r="H175" s="1177"/>
      <c r="I175" s="1177"/>
      <c r="J175" s="1177"/>
      <c r="K175" s="1177"/>
      <c r="L175" s="1177"/>
      <c r="M175" s="1177"/>
      <c r="N175" s="3525"/>
      <c r="O175" s="3526"/>
    </row>
    <row r="176" spans="2:15" ht="16.5" hidden="1" thickBot="1">
      <c r="D176" s="908"/>
      <c r="E176" s="918"/>
      <c r="F176" s="930">
        <v>0</v>
      </c>
      <c r="G176" s="1158" t="s">
        <v>2666</v>
      </c>
      <c r="H176" s="2777" t="s">
        <v>3339</v>
      </c>
      <c r="I176" s="1116"/>
      <c r="J176" s="1215"/>
      <c r="K176" s="1215"/>
      <c r="L176" s="1215"/>
      <c r="M176" s="1215"/>
      <c r="N176" s="1215"/>
      <c r="O176" s="1215"/>
    </row>
    <row r="177" spans="2:15" ht="16.5" hidden="1" thickBot="1">
      <c r="D177" s="908"/>
      <c r="E177" s="918"/>
      <c r="F177" s="1157" t="s">
        <v>2678</v>
      </c>
      <c r="J177" s="1216"/>
      <c r="K177" s="1217"/>
      <c r="L177" s="1216"/>
      <c r="M177" s="1216"/>
      <c r="N177" s="1159"/>
      <c r="O177" s="1217"/>
    </row>
    <row r="178" spans="2:15" ht="16.5" hidden="1" thickBot="1">
      <c r="B178" s="1">
        <v>1</v>
      </c>
      <c r="C178" s="1">
        <v>1</v>
      </c>
      <c r="D178" s="908"/>
      <c r="E178" s="918"/>
      <c r="F178" s="2056">
        <f>IF(H176=$T$4,F176,IF(SUM(F179,F182,F185)&lt;0,2,ROUND((IF(G188=0,3,IF(G188&lt;=2,4,5))),0)))</f>
        <v>3</v>
      </c>
      <c r="G178" s="1161" t="s">
        <v>1755</v>
      </c>
      <c r="H178" s="1161"/>
      <c r="I178" s="589" t="s">
        <v>376</v>
      </c>
      <c r="J178" s="1161"/>
      <c r="K178" s="1161"/>
      <c r="L178" s="589" t="s">
        <v>1310</v>
      </c>
      <c r="M178" s="1161"/>
      <c r="N178" s="1161"/>
      <c r="O178" s="1196" t="s">
        <v>1639</v>
      </c>
    </row>
    <row r="179" spans="2:15" ht="15.75" hidden="1">
      <c r="B179" s="1">
        <v>2</v>
      </c>
      <c r="C179" s="1">
        <v>2</v>
      </c>
      <c r="D179" s="908"/>
      <c r="E179" s="918"/>
      <c r="F179" s="1218">
        <v>0</v>
      </c>
      <c r="G179" s="3527" t="s">
        <v>927</v>
      </c>
      <c r="H179" s="3528"/>
      <c r="I179" s="3381" t="s">
        <v>928</v>
      </c>
      <c r="J179" s="3476"/>
      <c r="K179" s="3477"/>
      <c r="L179" s="3381" t="s">
        <v>1640</v>
      </c>
      <c r="M179" s="3476"/>
      <c r="N179" s="3477"/>
      <c r="O179" s="1219" t="s">
        <v>1641</v>
      </c>
    </row>
    <row r="180" spans="2:15" ht="15.75" hidden="1">
      <c r="B180" s="1">
        <v>3</v>
      </c>
      <c r="C180" s="1">
        <v>3</v>
      </c>
      <c r="D180" s="908"/>
      <c r="E180" s="918"/>
      <c r="F180" s="3534">
        <v>0</v>
      </c>
      <c r="G180" s="3529"/>
      <c r="H180" s="3530"/>
      <c r="I180" s="3385" t="s">
        <v>929</v>
      </c>
      <c r="J180" s="3471"/>
      <c r="K180" s="3472"/>
      <c r="L180" s="3385" t="s">
        <v>275</v>
      </c>
      <c r="M180" s="3471"/>
      <c r="N180" s="3472"/>
      <c r="O180" s="1220">
        <v>0</v>
      </c>
    </row>
    <row r="181" spans="2:15" ht="15.75" hidden="1">
      <c r="B181" s="1">
        <v>4</v>
      </c>
      <c r="C181" s="1">
        <v>4</v>
      </c>
      <c r="D181" s="908"/>
      <c r="E181" s="918"/>
      <c r="F181" s="3535"/>
      <c r="G181" s="3531"/>
      <c r="H181" s="3532"/>
      <c r="I181" s="3383" t="s">
        <v>930</v>
      </c>
      <c r="J181" s="3473"/>
      <c r="K181" s="3474"/>
      <c r="L181" s="3383" t="s">
        <v>276</v>
      </c>
      <c r="M181" s="3473"/>
      <c r="N181" s="3474"/>
      <c r="O181" s="1221">
        <v>1</v>
      </c>
    </row>
    <row r="182" spans="2:15" ht="15.75" hidden="1">
      <c r="B182" s="1">
        <v>5</v>
      </c>
      <c r="C182" s="1">
        <v>5</v>
      </c>
      <c r="D182" s="908"/>
      <c r="E182" s="918"/>
      <c r="F182" s="1222">
        <v>0</v>
      </c>
      <c r="G182" s="3527" t="s">
        <v>931</v>
      </c>
      <c r="H182" s="3528"/>
      <c r="I182" s="3381" t="s">
        <v>932</v>
      </c>
      <c r="J182" s="3476"/>
      <c r="K182" s="3477"/>
      <c r="L182" s="3381" t="s">
        <v>277</v>
      </c>
      <c r="M182" s="3476"/>
      <c r="N182" s="3477"/>
      <c r="O182" s="1219" t="s">
        <v>1641</v>
      </c>
    </row>
    <row r="183" spans="2:15" ht="15.75" hidden="1">
      <c r="B183" s="960">
        <v>0</v>
      </c>
      <c r="C183" s="960">
        <v>0</v>
      </c>
      <c r="D183" s="908"/>
      <c r="E183" s="918"/>
      <c r="F183" s="3534">
        <v>0</v>
      </c>
      <c r="G183" s="3529"/>
      <c r="H183" s="3530"/>
      <c r="I183" s="3385" t="s">
        <v>3019</v>
      </c>
      <c r="J183" s="3471"/>
      <c r="K183" s="3472"/>
      <c r="L183" s="3385" t="s">
        <v>2890</v>
      </c>
      <c r="M183" s="3471"/>
      <c r="N183" s="3472"/>
      <c r="O183" s="1220">
        <v>0</v>
      </c>
    </row>
    <row r="184" spans="2:15" ht="15.75" hidden="1">
      <c r="D184" s="908"/>
      <c r="E184" s="918"/>
      <c r="F184" s="3535"/>
      <c r="G184" s="3531"/>
      <c r="H184" s="3532"/>
      <c r="I184" s="3383" t="s">
        <v>930</v>
      </c>
      <c r="J184" s="3473"/>
      <c r="K184" s="3474"/>
      <c r="L184" s="3383" t="s">
        <v>2891</v>
      </c>
      <c r="M184" s="3473"/>
      <c r="N184" s="3474"/>
      <c r="O184" s="1221">
        <v>1</v>
      </c>
    </row>
    <row r="185" spans="2:15" ht="15.75" hidden="1">
      <c r="D185" s="908"/>
      <c r="E185" s="918"/>
      <c r="F185" s="1222">
        <v>0</v>
      </c>
      <c r="G185" s="3539" t="s">
        <v>355</v>
      </c>
      <c r="H185" s="3540"/>
      <c r="I185" s="3381" t="s">
        <v>356</v>
      </c>
      <c r="J185" s="3476"/>
      <c r="K185" s="3477"/>
      <c r="L185" s="3381" t="s">
        <v>2892</v>
      </c>
      <c r="M185" s="3476"/>
      <c r="N185" s="3477"/>
      <c r="O185" s="1219" t="s">
        <v>1641</v>
      </c>
    </row>
    <row r="186" spans="2:15" ht="15.75" hidden="1">
      <c r="D186" s="908"/>
      <c r="E186" s="918"/>
      <c r="F186" s="3534">
        <v>0</v>
      </c>
      <c r="G186" s="3541"/>
      <c r="H186" s="3523"/>
      <c r="I186" s="3385" t="s">
        <v>357</v>
      </c>
      <c r="J186" s="3471"/>
      <c r="K186" s="3472"/>
      <c r="L186" s="3385" t="s">
        <v>2893</v>
      </c>
      <c r="M186" s="3471"/>
      <c r="N186" s="3472"/>
      <c r="O186" s="1200">
        <v>0</v>
      </c>
    </row>
    <row r="187" spans="2:15" ht="16.5" hidden="1" thickBot="1">
      <c r="D187" s="908"/>
      <c r="E187" s="918"/>
      <c r="F187" s="3538"/>
      <c r="G187" s="3542"/>
      <c r="H187" s="3526"/>
      <c r="I187" s="3383" t="s">
        <v>930</v>
      </c>
      <c r="J187" s="3473"/>
      <c r="K187" s="3474"/>
      <c r="L187" s="3383" t="s">
        <v>2894</v>
      </c>
      <c r="M187" s="3473"/>
      <c r="N187" s="3474"/>
      <c r="O187" s="2392">
        <v>1</v>
      </c>
    </row>
    <row r="188" spans="2:15" ht="15.75" hidden="1">
      <c r="D188" s="908"/>
      <c r="E188" s="918"/>
      <c r="F188" s="2768" t="s">
        <v>141</v>
      </c>
      <c r="G188" s="1209">
        <f>SUM(F179:F187)</f>
        <v>0</v>
      </c>
      <c r="H188" s="2826" t="s">
        <v>3364</v>
      </c>
      <c r="I188" s="2387"/>
      <c r="J188" s="2391"/>
      <c r="K188" s="2391"/>
      <c r="L188" s="1194"/>
      <c r="M188" s="2391"/>
      <c r="N188" s="1194"/>
      <c r="O188" s="1203"/>
    </row>
    <row r="189" spans="2:15" ht="15.75">
      <c r="D189" s="908"/>
      <c r="E189" s="918"/>
      <c r="F189" s="1116"/>
      <c r="G189" s="1223"/>
      <c r="H189" s="995"/>
      <c r="I189" s="1179"/>
      <c r="J189" s="1180"/>
      <c r="K189" s="1180"/>
      <c r="L189" s="995"/>
      <c r="M189" s="995"/>
      <c r="N189" s="995"/>
      <c r="O189" s="995"/>
    </row>
    <row r="190" spans="2:15" ht="15.75">
      <c r="D190" s="1326">
        <v>2</v>
      </c>
      <c r="E190" s="1143" t="s">
        <v>358</v>
      </c>
      <c r="F190" s="1152"/>
      <c r="G190" s="1153"/>
      <c r="H190" s="1153"/>
      <c r="I190" s="1153"/>
      <c r="J190" s="1153"/>
      <c r="K190" s="1152"/>
      <c r="L190" s="1152"/>
      <c r="M190" s="1152"/>
      <c r="N190" s="1152"/>
      <c r="O190" s="1152"/>
    </row>
    <row r="191" spans="2:15" ht="15.75">
      <c r="D191" s="1326">
        <v>2.1</v>
      </c>
      <c r="E191" s="1152" t="s">
        <v>3245</v>
      </c>
      <c r="F191" s="1152"/>
      <c r="G191" s="1043"/>
      <c r="H191" s="1153"/>
      <c r="I191" s="1163"/>
      <c r="J191" s="1153"/>
      <c r="K191" s="1152"/>
      <c r="L191" s="1224"/>
      <c r="M191" s="1152"/>
      <c r="N191" s="1152"/>
      <c r="O191" s="1152"/>
    </row>
    <row r="192" spans="2:15" ht="15.75">
      <c r="D192" s="908"/>
      <c r="E192" s="913"/>
      <c r="F192" s="1084" t="s">
        <v>3246</v>
      </c>
      <c r="G192" s="996"/>
      <c r="H192" s="1045"/>
      <c r="I192" s="1025"/>
      <c r="J192" s="999" t="str">
        <f>IF(OR(F194=0,J193=0),$R$3,"")</f>
        <v/>
      </c>
      <c r="K192" s="1084" t="s">
        <v>3397</v>
      </c>
      <c r="L192" s="996"/>
      <c r="M192" s="1045"/>
      <c r="N192" s="1025"/>
      <c r="O192" s="999" t="str">
        <f>IF(OR(K194=0,O193=0),$R$3,"")</f>
        <v/>
      </c>
    </row>
    <row r="193" spans="2:15" ht="15.75" customHeight="1" thickBot="1">
      <c r="D193" s="908"/>
      <c r="E193" s="913"/>
      <c r="F193" s="923"/>
      <c r="G193" s="924"/>
      <c r="H193" s="925"/>
      <c r="I193" s="926" t="s">
        <v>1364</v>
      </c>
      <c r="J193" s="929">
        <f>重み!M80</f>
        <v>0.8</v>
      </c>
      <c r="K193" s="923"/>
      <c r="L193" s="924"/>
      <c r="M193" s="925"/>
      <c r="N193" s="926" t="s">
        <v>1364</v>
      </c>
      <c r="O193" s="929">
        <f>重み!M81</f>
        <v>0.2</v>
      </c>
    </row>
    <row r="194" spans="2:15" ht="27" customHeight="1" thickBot="1">
      <c r="D194" s="908"/>
      <c r="E194" s="913"/>
      <c r="F194" s="930">
        <v>3</v>
      </c>
      <c r="G194" s="3435" t="s">
        <v>31</v>
      </c>
      <c r="H194" s="3508"/>
      <c r="I194" s="1046" t="s">
        <v>485</v>
      </c>
      <c r="J194" s="936"/>
      <c r="K194" s="930">
        <v>3</v>
      </c>
      <c r="L194" s="1046" t="s">
        <v>1505</v>
      </c>
      <c r="M194" s="936"/>
      <c r="N194" s="1046"/>
      <c r="O194" s="1051"/>
    </row>
    <row r="195" spans="2:15" ht="21" customHeight="1">
      <c r="B195" s="1147" t="s">
        <v>1509</v>
      </c>
      <c r="C195" s="1" t="s">
        <v>1509</v>
      </c>
      <c r="D195" s="908"/>
      <c r="E195" s="913"/>
      <c r="F195" s="937" t="str">
        <f>IF(F194=$S$15,$T$10,IF(ROUNDDOWN(F194,0)=$S$10,$U$10,$T$10))</f>
        <v>　レベル　1</v>
      </c>
      <c r="G195" s="3381" t="s">
        <v>2178</v>
      </c>
      <c r="H195" s="3387"/>
      <c r="I195" s="3381" t="s">
        <v>32</v>
      </c>
      <c r="J195" s="3387"/>
      <c r="K195" s="937" t="str">
        <f>IF(K194=$S$15,$T$10,IF(ROUNDDOWN(K194,0)=$S$10,$U$10,$T$10))</f>
        <v>　レベル　1</v>
      </c>
      <c r="L195" s="2675" t="s">
        <v>2178</v>
      </c>
      <c r="M195" s="1227"/>
      <c r="N195" s="1227"/>
      <c r="O195" s="941"/>
    </row>
    <row r="196" spans="2:15" ht="30.75" customHeight="1">
      <c r="B196" s="1147">
        <v>2</v>
      </c>
      <c r="C196" s="1" t="s">
        <v>1509</v>
      </c>
      <c r="D196" s="908"/>
      <c r="E196" s="913"/>
      <c r="F196" s="942" t="str">
        <f>IF(F194=$S$15,$T$11,IF(ROUNDDOWN(F194,0)=$S$11,$U$11,$T$11))</f>
        <v>　レベル　2</v>
      </c>
      <c r="G196" s="3385" t="s">
        <v>985</v>
      </c>
      <c r="H196" s="3386"/>
      <c r="I196" s="3385" t="s">
        <v>33</v>
      </c>
      <c r="J196" s="3386"/>
      <c r="K196" s="942" t="str">
        <f>IF(K194=$S$15,$T$11,IF(ROUNDDOWN(K194,0)=$S$11,$U$11,$T$11))</f>
        <v>　レベル　2</v>
      </c>
      <c r="L196" s="2674" t="s">
        <v>2178</v>
      </c>
      <c r="M196" s="1086"/>
      <c r="N196" s="1086"/>
      <c r="O196" s="948"/>
    </row>
    <row r="197" spans="2:15" ht="24.75" customHeight="1">
      <c r="B197" s="1">
        <v>3</v>
      </c>
      <c r="C197" s="1">
        <v>3</v>
      </c>
      <c r="D197" s="908"/>
      <c r="E197" s="913"/>
      <c r="F197" s="942" t="str">
        <f>IF(F194=$S$15,$T$12,IF(ROUNDDOWN(F194,0)=$S$12,$U$12,$T$12))</f>
        <v>■レベル　3</v>
      </c>
      <c r="G197" s="3385" t="s">
        <v>360</v>
      </c>
      <c r="H197" s="3386"/>
      <c r="I197" s="3385" t="s">
        <v>34</v>
      </c>
      <c r="J197" s="3386"/>
      <c r="K197" s="942" t="str">
        <f>IF(K194=$S$15,$T$12,IF(ROUNDDOWN(K194,0)=$S$12,$U$12,$T$12))</f>
        <v>■レベル　3</v>
      </c>
      <c r="L197" s="1103" t="s">
        <v>3247</v>
      </c>
      <c r="M197" s="1086"/>
      <c r="N197" s="1086"/>
      <c r="O197" s="948"/>
    </row>
    <row r="198" spans="2:15" ht="26.25" customHeight="1">
      <c r="B198" s="1">
        <v>4</v>
      </c>
      <c r="C198" s="1">
        <v>4</v>
      </c>
      <c r="D198" s="908"/>
      <c r="E198" s="913"/>
      <c r="F198" s="942" t="str">
        <f>IF(F194=$S$15,$T$13,IF(ROUNDDOWN(F194,0)=$S$13,$U$13,$T$13))</f>
        <v>　レベル　4</v>
      </c>
      <c r="G198" s="3385" t="s">
        <v>361</v>
      </c>
      <c r="H198" s="3386"/>
      <c r="I198" s="3385" t="s">
        <v>985</v>
      </c>
      <c r="J198" s="3386"/>
      <c r="K198" s="942" t="str">
        <f>IF(K194=$S$15,$T$13,IF(ROUNDDOWN(K194,0)=$S$13,$U$13,$T$13))</f>
        <v>　レベル　4</v>
      </c>
      <c r="L198" s="3385" t="s">
        <v>3248</v>
      </c>
      <c r="M198" s="3402"/>
      <c r="N198" s="3402"/>
      <c r="O198" s="3429"/>
    </row>
    <row r="199" spans="2:15" ht="57" customHeight="1">
      <c r="B199" s="1">
        <v>5</v>
      </c>
      <c r="C199" s="1">
        <v>5</v>
      </c>
      <c r="D199" s="908"/>
      <c r="E199" s="913"/>
      <c r="F199" s="953" t="str">
        <f>IF(F194=$S$15,$T$14,IF(ROUNDDOWN(F194,0)=$S$14,$U$14,$T$14))</f>
        <v>　レベル　5</v>
      </c>
      <c r="G199" s="3383" t="s">
        <v>362</v>
      </c>
      <c r="H199" s="3384"/>
      <c r="I199" s="3383" t="s">
        <v>362</v>
      </c>
      <c r="J199" s="3384"/>
      <c r="K199" s="953" t="str">
        <f>IF(K194=$S$15,$T$14,IF(ROUNDDOWN(K194,0)=$S$14,$U$14,$T$14))</f>
        <v>　レベル　5</v>
      </c>
      <c r="L199" s="3383" t="s">
        <v>3249</v>
      </c>
      <c r="M199" s="3549"/>
      <c r="N199" s="3549"/>
      <c r="O199" s="3550"/>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2216</v>
      </c>
      <c r="F201" s="1226"/>
      <c r="G201" s="1226"/>
      <c r="H201" s="1043"/>
      <c r="I201" s="1153"/>
      <c r="J201" s="1153"/>
      <c r="K201" s="1152"/>
      <c r="L201" s="1224"/>
      <c r="M201" s="1152"/>
      <c r="N201" s="1152"/>
      <c r="O201" s="1152"/>
    </row>
    <row r="202" spans="2:15" ht="15.75">
      <c r="D202" s="1225"/>
      <c r="E202" s="1042"/>
      <c r="F202" s="1084" t="s">
        <v>550</v>
      </c>
      <c r="G202" s="996"/>
      <c r="H202" s="1045"/>
      <c r="I202" s="1025"/>
      <c r="J202" s="999" t="str">
        <f>IF(OR(F204=0,J203=0),$R$3,"")</f>
        <v/>
      </c>
      <c r="K202" s="1084" t="s">
        <v>1164</v>
      </c>
      <c r="L202" s="996"/>
      <c r="M202" s="1045"/>
      <c r="N202" s="1025"/>
      <c r="O202" s="999" t="str">
        <f>IF(OR(K204=0,O203=0),$R$3,"")</f>
        <v/>
      </c>
    </row>
    <row r="203" spans="2:15" ht="15" customHeight="1" thickBot="1">
      <c r="D203" s="908"/>
      <c r="E203" s="913"/>
      <c r="F203" s="923"/>
      <c r="G203" s="924"/>
      <c r="H203" s="925"/>
      <c r="I203" s="926" t="s">
        <v>1364</v>
      </c>
      <c r="J203" s="929">
        <f>重み!M83</f>
        <v>0.2</v>
      </c>
      <c r="K203" s="923"/>
      <c r="L203" s="924"/>
      <c r="M203" s="925"/>
      <c r="N203" s="926" t="s">
        <v>1364</v>
      </c>
      <c r="O203" s="929">
        <f>重み!M84</f>
        <v>0.2</v>
      </c>
    </row>
    <row r="204" spans="2:15" ht="27" customHeight="1" thickBot="1">
      <c r="D204" s="908"/>
      <c r="E204" s="913"/>
      <c r="F204" s="930">
        <v>3</v>
      </c>
      <c r="G204" s="1046" t="s">
        <v>41</v>
      </c>
      <c r="H204" s="935"/>
      <c r="I204" s="935"/>
      <c r="J204" s="936"/>
      <c r="K204" s="930">
        <v>3</v>
      </c>
      <c r="L204" s="1046" t="s">
        <v>1505</v>
      </c>
      <c r="M204" s="936"/>
      <c r="N204" s="1046"/>
      <c r="O204" s="1051"/>
    </row>
    <row r="205" spans="2:15" ht="21" customHeight="1">
      <c r="B205" s="1" t="s">
        <v>1509</v>
      </c>
      <c r="C205" s="1">
        <v>1</v>
      </c>
      <c r="D205" s="908"/>
      <c r="E205" s="913"/>
      <c r="F205" s="937" t="str">
        <f>IF(F204=$S$15,$T$10,IF(ROUNDDOWN(F204,0)=$S$10,$U$10,$T$10))</f>
        <v>　レベル　1</v>
      </c>
      <c r="G205" s="939" t="s">
        <v>2178</v>
      </c>
      <c r="H205" s="1227"/>
      <c r="I205" s="1227"/>
      <c r="J205" s="941"/>
      <c r="K205" s="937" t="str">
        <f>IF(K204=$S$15,$T$10,IF(ROUNDDOWN(K204,0)=$S$10,$U$10,$T$10))</f>
        <v>　レベル　1</v>
      </c>
      <c r="L205" s="939" t="s">
        <v>551</v>
      </c>
      <c r="M205" s="1227"/>
      <c r="N205" s="1227"/>
      <c r="O205" s="941"/>
    </row>
    <row r="206" spans="2:15" ht="21" customHeight="1">
      <c r="B206" s="1" t="s">
        <v>1509</v>
      </c>
      <c r="C206" s="1">
        <v>2</v>
      </c>
      <c r="D206" s="908"/>
      <c r="E206" s="913"/>
      <c r="F206" s="942" t="str">
        <f>IF(F204=$S$15,$T$11,IF(ROUNDDOWN(F204,0)=$S$11,$U$11,$T$11))</f>
        <v>　レベル　2</v>
      </c>
      <c r="G206" s="946" t="s">
        <v>2178</v>
      </c>
      <c r="H206" s="1086"/>
      <c r="I206" s="1086"/>
      <c r="J206" s="948"/>
      <c r="K206" s="942" t="str">
        <f>IF(K204=$S$15,$T$11,IF(ROUNDDOWN(K204,0)=$S$11,$U$11,$T$11))</f>
        <v>　レベル　2</v>
      </c>
      <c r="L206" s="946" t="s">
        <v>552</v>
      </c>
      <c r="M206" s="1086"/>
      <c r="N206" s="1086"/>
      <c r="O206" s="948"/>
    </row>
    <row r="207" spans="2:15" ht="54" customHeight="1">
      <c r="B207" s="1">
        <v>3</v>
      </c>
      <c r="C207" s="1">
        <v>3</v>
      </c>
      <c r="D207" s="908"/>
      <c r="E207" s="913"/>
      <c r="F207" s="942" t="str">
        <f>IF(F204=$S$15,$T$12,IF(ROUNDDOWN(F204,0)=$S$12,$U$12,$T$12))</f>
        <v>■レベル　3</v>
      </c>
      <c r="G207" s="3385" t="s">
        <v>2907</v>
      </c>
      <c r="H207" s="3402"/>
      <c r="I207" s="3402"/>
      <c r="J207" s="3429"/>
      <c r="K207" s="942" t="str">
        <f>IF(K204=$S$15,$T$12,IF(ROUNDDOWN(K204,0)=$S$12,$U$12,$T$12))</f>
        <v>■レベル　3</v>
      </c>
      <c r="L207" s="946" t="s">
        <v>553</v>
      </c>
      <c r="M207" s="1086"/>
      <c r="N207" s="1086"/>
      <c r="O207" s="948"/>
    </row>
    <row r="208" spans="2:15" ht="54" customHeight="1">
      <c r="B208" s="1">
        <v>4</v>
      </c>
      <c r="C208" s="1">
        <v>4</v>
      </c>
      <c r="D208" s="908"/>
      <c r="E208" s="913"/>
      <c r="F208" s="942" t="str">
        <f>IF(F204=$S$15,$T$13,IF(ROUNDDOWN(F204,0)=$S$13,$U$13,$T$13))</f>
        <v>　レベル　4</v>
      </c>
      <c r="G208" s="3385" t="s">
        <v>2908</v>
      </c>
      <c r="H208" s="3391"/>
      <c r="I208" s="3391"/>
      <c r="J208" s="3386"/>
      <c r="K208" s="942" t="str">
        <f>IF(K204=$S$15,$T$13,IF(ROUNDDOWN(K204,0)=$S$13,$U$13,$T$13))</f>
        <v>　レベル　4</v>
      </c>
      <c r="L208" s="946" t="s">
        <v>2875</v>
      </c>
      <c r="M208" s="1086"/>
      <c r="N208" s="1086"/>
      <c r="O208" s="948"/>
    </row>
    <row r="209" spans="2:15" ht="54" customHeight="1">
      <c r="B209" s="1">
        <v>5</v>
      </c>
      <c r="C209" s="1">
        <v>5</v>
      </c>
      <c r="D209" s="908"/>
      <c r="E209" s="913"/>
      <c r="F209" s="953" t="str">
        <f>IF(F204=$S$15,$T$14,IF(ROUNDDOWN(F204,0)=$S$14,$U$14,$T$14))</f>
        <v>　レベル　5</v>
      </c>
      <c r="G209" s="3383" t="s">
        <v>2909</v>
      </c>
      <c r="H209" s="3390"/>
      <c r="I209" s="3390"/>
      <c r="J209" s="3384"/>
      <c r="K209" s="953" t="str">
        <f>IF(K204=$S$15,$T$14,IF(ROUNDDOWN(K204,0)=$S$14,$U$14,$T$14))</f>
        <v>　レベル　5</v>
      </c>
      <c r="L209" s="957" t="s">
        <v>2876</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1165</v>
      </c>
      <c r="G211" s="996"/>
      <c r="H211" s="1045"/>
      <c r="I211" s="1025"/>
      <c r="J211" s="999" t="str">
        <f>IF(OR(F213=0,J212=0),$R$3,"")</f>
        <v/>
      </c>
      <c r="K211" s="1084" t="s">
        <v>2877</v>
      </c>
      <c r="L211" s="996"/>
      <c r="M211" s="1045"/>
      <c r="N211" s="1025"/>
      <c r="O211" s="999" t="str">
        <f>IF(OR(K213=0,O212=0),$R$3,"")</f>
        <v/>
      </c>
    </row>
    <row r="212" spans="2:15" ht="15.75" customHeight="1" thickBot="1">
      <c r="D212" s="908"/>
      <c r="E212" s="1229"/>
      <c r="F212" s="923"/>
      <c r="G212" s="924"/>
      <c r="H212" s="925"/>
      <c r="I212" s="926" t="s">
        <v>1364</v>
      </c>
      <c r="J212" s="929">
        <f>重み!M85</f>
        <v>0.1</v>
      </c>
      <c r="K212" s="923"/>
      <c r="L212" s="924"/>
      <c r="M212" s="925"/>
      <c r="N212" s="926" t="s">
        <v>1364</v>
      </c>
      <c r="O212" s="929">
        <f>重み!M86</f>
        <v>0.1</v>
      </c>
    </row>
    <row r="213" spans="2:15" ht="27" customHeight="1" thickBot="1">
      <c r="D213" s="908"/>
      <c r="E213" s="1229"/>
      <c r="F213" s="930">
        <v>3</v>
      </c>
      <c r="G213" s="1046" t="s">
        <v>1116</v>
      </c>
      <c r="H213" s="936"/>
      <c r="I213" s="935" t="s">
        <v>1166</v>
      </c>
      <c r="J213" s="936"/>
      <c r="K213" s="930">
        <v>3</v>
      </c>
      <c r="L213" s="1046" t="s">
        <v>1505</v>
      </c>
      <c r="M213" s="936"/>
      <c r="N213" s="1046"/>
      <c r="O213" s="1051"/>
    </row>
    <row r="214" spans="2:15" ht="21" customHeight="1">
      <c r="B214" s="1">
        <v>1</v>
      </c>
      <c r="C214" s="1" t="s">
        <v>1509</v>
      </c>
      <c r="D214" s="908"/>
      <c r="E214" s="1156"/>
      <c r="F214" s="937" t="str">
        <f>IF(F213=$S$15,$T$10,IF(ROUNDDOWN(F213,0)=$S$10,$U$10,$T$10))</f>
        <v>　レベル　1</v>
      </c>
      <c r="G214" s="939" t="s">
        <v>1167</v>
      </c>
      <c r="H214" s="941"/>
      <c r="I214" s="939" t="s">
        <v>551</v>
      </c>
      <c r="J214" s="941"/>
      <c r="K214" s="937" t="str">
        <f>IF(K213=$S$15,$T$10,IF(ROUNDDOWN(K213,0)=$S$10,$U$10,$T$10))</f>
        <v>　レベル　1</v>
      </c>
      <c r="L214" s="939" t="s">
        <v>2178</v>
      </c>
      <c r="M214" s="1227"/>
      <c r="N214" s="1227"/>
      <c r="O214" s="941"/>
    </row>
    <row r="215" spans="2:15" ht="21" customHeight="1">
      <c r="B215" s="1">
        <v>2</v>
      </c>
      <c r="C215" s="1" t="s">
        <v>1509</v>
      </c>
      <c r="D215" s="908"/>
      <c r="E215" s="1156"/>
      <c r="F215" s="942" t="str">
        <f>IF(F213=$S$15,$T$11,IF(ROUNDDOWN(F213,0)=$S$11,$U$11,$T$11))</f>
        <v>　レベル　2</v>
      </c>
      <c r="G215" s="946" t="s">
        <v>2878</v>
      </c>
      <c r="H215" s="948"/>
      <c r="I215" s="946" t="s">
        <v>2879</v>
      </c>
      <c r="J215" s="948"/>
      <c r="K215" s="942" t="str">
        <f>IF(K213=$S$15,$T$11,IF(ROUNDDOWN(K213,0)=$S$11,$U$11,$T$11))</f>
        <v>　レベル　2</v>
      </c>
      <c r="L215" s="946" t="s">
        <v>2178</v>
      </c>
      <c r="M215" s="1086"/>
      <c r="N215" s="1086"/>
      <c r="O215" s="948"/>
    </row>
    <row r="216" spans="2:15" ht="21" customHeight="1">
      <c r="B216" s="1">
        <v>3</v>
      </c>
      <c r="C216" s="1">
        <v>3</v>
      </c>
      <c r="D216" s="908"/>
      <c r="E216" s="1156"/>
      <c r="F216" s="942" t="str">
        <f>IF(F213=$S$15,$T$12,IF(ROUNDDOWN(F213,0)=$S$12,$U$12,$T$12))</f>
        <v>■レベル　3</v>
      </c>
      <c r="G216" s="946" t="s">
        <v>2880</v>
      </c>
      <c r="H216" s="948"/>
      <c r="I216" s="946" t="s">
        <v>2881</v>
      </c>
      <c r="J216" s="948"/>
      <c r="K216" s="942" t="str">
        <f>IF(K213=$S$15,$T$12,IF(ROUNDDOWN(K213,0)=$S$12,$U$12,$T$12))</f>
        <v>■レベル　3</v>
      </c>
      <c r="L216" s="946" t="s">
        <v>2882</v>
      </c>
      <c r="M216" s="1086"/>
      <c r="N216" s="1086"/>
      <c r="O216" s="948"/>
    </row>
    <row r="217" spans="2:15" ht="61.5" customHeight="1">
      <c r="B217" s="1">
        <v>4</v>
      </c>
      <c r="C217" s="1">
        <v>4</v>
      </c>
      <c r="D217" s="908"/>
      <c r="E217" s="1156"/>
      <c r="F217" s="942" t="str">
        <f>IF(F213=$S$15,$T$13,IF(ROUNDDOWN(F213,0)=$S$13,$U$13,$T$13))</f>
        <v>　レベル　4</v>
      </c>
      <c r="G217" s="946" t="s">
        <v>1541</v>
      </c>
      <c r="H217" s="948"/>
      <c r="I217" s="946" t="s">
        <v>1168</v>
      </c>
      <c r="J217" s="948"/>
      <c r="K217" s="942" t="str">
        <f>IF(K213=$S$15,$T$13,IF(ROUNDDOWN(K213,0)=$S$13,$U$13,$T$13))</f>
        <v>　レベル　4</v>
      </c>
      <c r="L217" s="3385" t="s">
        <v>1542</v>
      </c>
      <c r="M217" s="3420"/>
      <c r="N217" s="3420"/>
      <c r="O217" s="3421"/>
    </row>
    <row r="218" spans="2:15" ht="61.5" customHeight="1">
      <c r="B218" s="1">
        <v>5</v>
      </c>
      <c r="C218" s="1">
        <v>5</v>
      </c>
      <c r="D218" s="908"/>
      <c r="E218" s="1156"/>
      <c r="F218" s="953" t="str">
        <f>IF(F213=$S$15,$T$14,IF(ROUNDDOWN(F213,0)=$S$14,$U$14,$T$14))</f>
        <v>　レベル　5</v>
      </c>
      <c r="G218" s="957" t="s">
        <v>1169</v>
      </c>
      <c r="H218" s="959"/>
      <c r="I218" s="957" t="s">
        <v>1543</v>
      </c>
      <c r="J218" s="959"/>
      <c r="K218" s="953" t="str">
        <f>IF(K213=$S$15,$T$14,IF(ROUNDDOWN(K213,0)=$S$14,$U$14,$T$14))</f>
        <v>　レベル　5</v>
      </c>
      <c r="L218" s="3383" t="s">
        <v>1544</v>
      </c>
      <c r="M218" s="3430"/>
      <c r="N218" s="3430"/>
      <c r="O218" s="3431"/>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2265</v>
      </c>
      <c r="G220" s="996"/>
      <c r="H220" s="1045"/>
      <c r="I220" s="1025"/>
      <c r="J220" s="999" t="str">
        <f>IF(OR(F222=0,J221=0),$R$3,"")</f>
        <v/>
      </c>
      <c r="K220" s="1084" t="s">
        <v>385</v>
      </c>
      <c r="L220" s="996"/>
      <c r="M220" s="1045"/>
      <c r="N220" s="1025"/>
      <c r="O220" s="999" t="str">
        <f>IF(OR(K222=0,O221=0),$R$3,"")</f>
        <v/>
      </c>
    </row>
    <row r="221" spans="2:15" ht="15.75" customHeight="1" thickBot="1">
      <c r="D221" s="908"/>
      <c r="E221" s="1229"/>
      <c r="F221" s="923"/>
      <c r="G221" s="924"/>
      <c r="H221" s="925"/>
      <c r="I221" s="926" t="s">
        <v>1364</v>
      </c>
      <c r="J221" s="929">
        <f>重み!M87</f>
        <v>0.2</v>
      </c>
      <c r="K221" s="923"/>
      <c r="L221" s="924"/>
      <c r="M221" s="925"/>
      <c r="N221" s="926" t="s">
        <v>1364</v>
      </c>
      <c r="O221" s="929">
        <f>重み!M88</f>
        <v>0.2</v>
      </c>
    </row>
    <row r="222" spans="2:15" ht="27" customHeight="1" thickBot="1">
      <c r="D222" s="908"/>
      <c r="E222" s="1229"/>
      <c r="F222" s="930">
        <v>3</v>
      </c>
      <c r="G222" s="1046" t="s">
        <v>1505</v>
      </c>
      <c r="H222" s="936"/>
      <c r="I222" s="935"/>
      <c r="J222" s="936"/>
      <c r="K222" s="930">
        <v>3</v>
      </c>
      <c r="L222" s="1046" t="s">
        <v>1505</v>
      </c>
      <c r="M222" s="936"/>
      <c r="N222" s="1046"/>
      <c r="O222" s="1051"/>
    </row>
    <row r="223" spans="2:15" ht="21" customHeight="1">
      <c r="B223" s="1147" t="s">
        <v>1509</v>
      </c>
      <c r="C223" s="1">
        <v>1</v>
      </c>
      <c r="D223" s="908"/>
      <c r="E223" s="1156"/>
      <c r="F223" s="937" t="str">
        <f>IF(F222=$S$15,$T$10,IF(ROUNDDOWN(F222,0)=$S$10,$U$10,$T$10))</f>
        <v>　レベル　1</v>
      </c>
      <c r="G223" s="2468" t="s">
        <v>2178</v>
      </c>
      <c r="H223" s="1227"/>
      <c r="I223" s="1227"/>
      <c r="J223" s="941"/>
      <c r="K223" s="937" t="str">
        <f>IF(K222=$S$15,$T$10,IF(ROUNDDOWN(K222,0)=$S$10,$U$10,$T$10))</f>
        <v>　レベル　1</v>
      </c>
      <c r="L223" s="939" t="s">
        <v>386</v>
      </c>
      <c r="M223" s="1227"/>
      <c r="N223" s="1227"/>
      <c r="O223" s="941"/>
    </row>
    <row r="224" spans="2:15" ht="21" customHeight="1">
      <c r="B224" s="1" t="s">
        <v>1509</v>
      </c>
      <c r="C224" s="1">
        <v>2</v>
      </c>
      <c r="D224" s="908"/>
      <c r="E224" s="1156"/>
      <c r="F224" s="942" t="str">
        <f>IF(F222=$S$15,$T$11,IF(ROUNDDOWN(F222,0)=$S$11,$U$11,$T$11))</f>
        <v>　レベル　2</v>
      </c>
      <c r="G224" s="946" t="s">
        <v>2178</v>
      </c>
      <c r="H224" s="1086"/>
      <c r="I224" s="1086"/>
      <c r="J224" s="948"/>
      <c r="K224" s="942" t="str">
        <f>IF(K222=$S$15,$T$11,IF(ROUNDDOWN(K222,0)=$S$11,$U$11,$T$11))</f>
        <v>　レベル　2</v>
      </c>
      <c r="L224" s="946" t="s">
        <v>2266</v>
      </c>
      <c r="M224" s="1086"/>
      <c r="N224" s="1086"/>
      <c r="O224" s="948"/>
    </row>
    <row r="225" spans="2:15" ht="21" customHeight="1">
      <c r="B225" s="1">
        <v>3</v>
      </c>
      <c r="C225" s="1">
        <v>3</v>
      </c>
      <c r="D225" s="908"/>
      <c r="E225" s="1156"/>
      <c r="F225" s="942" t="str">
        <f>IF(F222=$S$15,$T$12,IF(ROUNDDOWN(F222,0)=$S$12,$U$12,$T$12))</f>
        <v>■レベル　3</v>
      </c>
      <c r="G225" s="946" t="s">
        <v>2267</v>
      </c>
      <c r="H225" s="1086"/>
      <c r="I225" s="1086"/>
      <c r="J225" s="948"/>
      <c r="K225" s="942" t="str">
        <f>IF(K222=$S$15,$T$12,IF(ROUNDDOWN(K222,0)=$S$12,$U$12,$T$12))</f>
        <v>■レベル　3</v>
      </c>
      <c r="L225" s="946" t="s">
        <v>2268</v>
      </c>
      <c r="M225" s="1086"/>
      <c r="N225" s="1086"/>
      <c r="O225" s="948"/>
    </row>
    <row r="226" spans="2:15" ht="21" customHeight="1">
      <c r="B226" s="1147">
        <v>4</v>
      </c>
      <c r="C226" s="1">
        <v>4</v>
      </c>
      <c r="D226" s="908"/>
      <c r="E226" s="1156"/>
      <c r="F226" s="942" t="str">
        <f>IF(F222=$S$15,$T$13,IF(ROUNDDOWN(F222,0)=$S$13,$U$13,$T$13))</f>
        <v>　レベル　4</v>
      </c>
      <c r="G226" s="946" t="s">
        <v>1670</v>
      </c>
      <c r="H226" s="1086"/>
      <c r="I226" s="1086"/>
      <c r="J226" s="948"/>
      <c r="K226" s="942" t="str">
        <f>IF(K222=$S$15,$T$13,IF(ROUNDDOWN(K222,0)=$S$13,$U$13,$T$13))</f>
        <v>　レベル　4</v>
      </c>
      <c r="L226" s="946" t="s">
        <v>1671</v>
      </c>
      <c r="M226" s="1086"/>
      <c r="N226" s="1086"/>
      <c r="O226" s="948"/>
    </row>
    <row r="227" spans="2:15" ht="31.5" customHeight="1">
      <c r="B227" s="1147">
        <v>5</v>
      </c>
      <c r="C227" s="1">
        <v>5</v>
      </c>
      <c r="D227" s="908"/>
      <c r="E227" s="1156"/>
      <c r="F227" s="953" t="str">
        <f>IF(F222=$S$15,$T$14,IF(ROUNDDOWN(F222,0)=$S$14,$U$14,$T$14))</f>
        <v>　レベル　5</v>
      </c>
      <c r="G227" s="3410" t="s">
        <v>1587</v>
      </c>
      <c r="H227" s="3506"/>
      <c r="I227" s="3506"/>
      <c r="J227" s="3507"/>
      <c r="K227" s="953" t="str">
        <f>IF(K222=$S$15,$T$14,IF(ROUNDDOWN(K222,0)=$S$14,$U$14,$T$14))</f>
        <v>　レベル　5</v>
      </c>
      <c r="L227" s="957" t="s">
        <v>1588</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6">
        <v>2.2999999999999998</v>
      </c>
      <c r="E229" s="1143" t="s">
        <v>792</v>
      </c>
      <c r="F229" s="1152"/>
      <c r="G229" s="995" t="s">
        <v>1589</v>
      </c>
      <c r="H229" s="995"/>
      <c r="I229" s="995"/>
      <c r="J229" s="995"/>
      <c r="K229" s="1116"/>
      <c r="L229" s="1116"/>
      <c r="M229" s="1116"/>
      <c r="N229" s="1116"/>
      <c r="O229" s="1228"/>
    </row>
    <row r="230" spans="2:15" ht="15.75" hidden="1">
      <c r="B230" s="1114" t="s">
        <v>1590</v>
      </c>
      <c r="D230" s="1326"/>
      <c r="E230" s="1143"/>
      <c r="F230" s="1084" t="s">
        <v>387</v>
      </c>
      <c r="G230" s="996"/>
      <c r="H230" s="1045"/>
      <c r="I230" s="1025"/>
      <c r="J230" s="999" t="str">
        <f>IF(OR(F232=0,J231=0),$R$3,"")</f>
        <v>&lt;評価しない&gt;</v>
      </c>
      <c r="K230" s="1084" t="s">
        <v>388</v>
      </c>
      <c r="L230" s="996"/>
      <c r="M230" s="1045"/>
      <c r="N230" s="1025"/>
      <c r="O230" s="999" t="str">
        <f>IF(OR(K232=0,O231=0),$R$3,"")</f>
        <v>&lt;評価しない&gt;</v>
      </c>
    </row>
    <row r="231" spans="2:15" ht="16.5" hidden="1" thickBot="1">
      <c r="D231" s="1326"/>
      <c r="E231" s="1143"/>
      <c r="F231" s="923" t="s">
        <v>2827</v>
      </c>
      <c r="G231" s="924"/>
      <c r="H231" s="925"/>
      <c r="I231" s="926" t="s">
        <v>389</v>
      </c>
      <c r="J231" s="929">
        <f>重み!M90</f>
        <v>0</v>
      </c>
      <c r="K231" s="923" t="s">
        <v>2827</v>
      </c>
      <c r="L231" s="924"/>
      <c r="M231" s="925"/>
      <c r="N231" s="926" t="s">
        <v>389</v>
      </c>
      <c r="O231" s="929">
        <f>重み!M91</f>
        <v>0</v>
      </c>
    </row>
    <row r="232" spans="2:15" ht="16.5" hidden="1" thickBot="1">
      <c r="D232" s="1326"/>
      <c r="E232" s="1143"/>
      <c r="F232" s="930">
        <v>3</v>
      </c>
      <c r="G232" s="1046" t="s">
        <v>390</v>
      </c>
      <c r="H232" s="936"/>
      <c r="I232" s="935"/>
      <c r="J232" s="936"/>
      <c r="K232" s="930">
        <v>3</v>
      </c>
      <c r="L232" s="1046" t="s">
        <v>390</v>
      </c>
      <c r="M232" s="936"/>
      <c r="N232" s="1046"/>
      <c r="O232" s="1051"/>
    </row>
    <row r="233" spans="2:15" ht="15.75" hidden="1" customHeight="1">
      <c r="B233" s="1">
        <v>1</v>
      </c>
      <c r="C233" s="1">
        <v>1</v>
      </c>
      <c r="D233" s="1326"/>
      <c r="E233" s="1143"/>
      <c r="F233" s="937" t="str">
        <f>IF(F232=$S$15,$T$10,IF(ROUNDDOWN(F232,0)=$S$10,$U$10,$T$10))</f>
        <v>　レベル　1</v>
      </c>
      <c r="G233" s="2388" t="s">
        <v>1591</v>
      </c>
      <c r="H233" s="1227"/>
      <c r="I233" s="1227"/>
      <c r="J233" s="941"/>
      <c r="K233" s="937" t="str">
        <f>IF(K232=$S$15,$T$10,IF(ROUNDDOWN(K232,0)=$S$10,$U$10,$T$10))</f>
        <v>　レベル　1</v>
      </c>
      <c r="L233" s="3381" t="s">
        <v>1591</v>
      </c>
      <c r="M233" s="3518"/>
      <c r="N233" s="3518"/>
      <c r="O233" s="3519"/>
    </row>
    <row r="234" spans="2:15" ht="15.75" hidden="1" customHeight="1">
      <c r="B234" s="1">
        <v>2</v>
      </c>
      <c r="C234" s="1">
        <v>2</v>
      </c>
      <c r="D234" s="1326"/>
      <c r="E234" s="1143"/>
      <c r="F234" s="942" t="str">
        <f>IF(F232=$S$15,$T$11,IF(ROUNDDOWN(F232,0)=$S$11,$U$11,$T$11))</f>
        <v>　レベル　2</v>
      </c>
      <c r="G234" s="2388" t="s">
        <v>1592</v>
      </c>
      <c r="H234" s="1086"/>
      <c r="I234" s="1086"/>
      <c r="J234" s="948"/>
      <c r="K234" s="942" t="str">
        <f>IF(K232=$S$15,$T$11,IF(ROUNDDOWN(K232,0)=$S$11,$U$11,$T$11))</f>
        <v>　レベル　2</v>
      </c>
      <c r="L234" s="3385" t="s">
        <v>1592</v>
      </c>
      <c r="M234" s="3420"/>
      <c r="N234" s="3420"/>
      <c r="O234" s="3421"/>
    </row>
    <row r="235" spans="2:15" ht="15.75" hidden="1" customHeight="1">
      <c r="B235" s="1">
        <v>3</v>
      </c>
      <c r="C235" s="1">
        <v>3</v>
      </c>
      <c r="D235" s="1326"/>
      <c r="E235" s="1143"/>
      <c r="F235" s="942" t="str">
        <f>IF(F232=$S$15,$T$12,IF(ROUNDDOWN(F232,0)=$S$12,$U$12,$T$12))</f>
        <v>■レベル　3</v>
      </c>
      <c r="G235" s="2388" t="s">
        <v>3020</v>
      </c>
      <c r="H235" s="1086"/>
      <c r="I235" s="1086"/>
      <c r="J235" s="948"/>
      <c r="K235" s="942" t="str">
        <f>IF(K232=$S$15,$T$12,IF(ROUNDDOWN(K232,0)=$S$12,$U$12,$T$12))</f>
        <v>■レベル　3</v>
      </c>
      <c r="L235" s="3385" t="s">
        <v>3021</v>
      </c>
      <c r="M235" s="3420"/>
      <c r="N235" s="3420"/>
      <c r="O235" s="3421"/>
    </row>
    <row r="236" spans="2:15" ht="15.75" hidden="1" customHeight="1">
      <c r="B236" s="1" t="s">
        <v>391</v>
      </c>
      <c r="C236" s="1" t="s">
        <v>391</v>
      </c>
      <c r="D236" s="1326"/>
      <c r="E236" s="1143"/>
      <c r="F236" s="942" t="str">
        <f>IF(F232=$S$15,$T$13,IF(ROUNDDOWN(F232,0)=$S$13,$U$13,$T$13))</f>
        <v>　レベル　4</v>
      </c>
      <c r="G236" s="3385" t="s">
        <v>2178</v>
      </c>
      <c r="H236" s="3420"/>
      <c r="I236" s="3420"/>
      <c r="J236" s="3421"/>
      <c r="K236" s="942" t="str">
        <f>IF(K232=$S$15,$T$13,IF(ROUNDDOWN(K232,0)=$S$13,$U$13,$T$13))</f>
        <v>　レベル　4</v>
      </c>
      <c r="L236" s="3385" t="s">
        <v>2178</v>
      </c>
      <c r="M236" s="3420"/>
      <c r="N236" s="3420"/>
      <c r="O236" s="3421"/>
    </row>
    <row r="237" spans="2:15" ht="15.75" hidden="1" customHeight="1">
      <c r="B237" s="1">
        <v>5</v>
      </c>
      <c r="C237" s="1">
        <v>5</v>
      </c>
      <c r="D237" s="1326"/>
      <c r="E237" s="1143"/>
      <c r="F237" s="953" t="str">
        <f>IF(F232=$S$15,$T$14,IF(ROUNDDOWN(F232,0)=$S$14,$U$14,$T$14))</f>
        <v>　レベル　5</v>
      </c>
      <c r="G237" s="2386" t="s">
        <v>1593</v>
      </c>
      <c r="H237" s="1079"/>
      <c r="I237" s="1079"/>
      <c r="J237" s="959"/>
      <c r="K237" s="953" t="str">
        <f>IF(K232=$S$15,$T$14,IF(ROUNDDOWN(K232,0)=$S$14,$U$14,$T$14))</f>
        <v>　レベル　5</v>
      </c>
      <c r="L237" s="3383" t="s">
        <v>1593</v>
      </c>
      <c r="M237" s="3430"/>
      <c r="N237" s="3430"/>
      <c r="O237" s="3431"/>
    </row>
    <row r="238" spans="2:15" ht="15.75" hidden="1">
      <c r="B238" s="960">
        <v>0</v>
      </c>
      <c r="C238" s="960">
        <v>0</v>
      </c>
      <c r="D238" s="1326"/>
      <c r="E238" s="1143"/>
      <c r="F238" s="1163"/>
      <c r="G238" s="1163"/>
      <c r="H238" s="1163"/>
      <c r="I238" s="1163"/>
      <c r="J238" s="1163"/>
      <c r="K238" s="1163"/>
      <c r="L238" s="1163"/>
      <c r="M238" s="1163"/>
      <c r="N238" s="1163"/>
      <c r="O238" s="1163"/>
    </row>
    <row r="239" spans="2:15" ht="15.75" hidden="1">
      <c r="B239" s="1114" t="s">
        <v>1590</v>
      </c>
      <c r="D239" s="1326"/>
      <c r="E239" s="1143"/>
      <c r="F239" s="1084" t="s">
        <v>392</v>
      </c>
      <c r="G239" s="996"/>
      <c r="H239" s="1045"/>
      <c r="I239" s="1025"/>
      <c r="J239" s="999" t="str">
        <f>IF(OR(F241=0,J240=0),$R$3,"")</f>
        <v>&lt;評価しない&gt;</v>
      </c>
      <c r="K239" s="1163"/>
      <c r="L239" s="1163"/>
      <c r="M239" s="1163"/>
      <c r="N239" s="1163"/>
      <c r="O239" s="1163"/>
    </row>
    <row r="240" spans="2:15" ht="16.5" hidden="1" thickBot="1">
      <c r="D240" s="1326"/>
      <c r="E240" s="1143"/>
      <c r="F240" s="923" t="s">
        <v>2827</v>
      </c>
      <c r="G240" s="924"/>
      <c r="H240" s="925"/>
      <c r="I240" s="926" t="s">
        <v>389</v>
      </c>
      <c r="J240" s="929">
        <f>重み!M92</f>
        <v>0</v>
      </c>
      <c r="K240" s="1163"/>
      <c r="L240" s="1163"/>
      <c r="M240" s="1163"/>
      <c r="N240" s="1163"/>
      <c r="O240" s="1163"/>
    </row>
    <row r="241" spans="2:15" ht="16.5" hidden="1" thickBot="1">
      <c r="D241" s="1326"/>
      <c r="E241" s="1143"/>
      <c r="F241" s="930">
        <v>3</v>
      </c>
      <c r="G241" s="1046" t="s">
        <v>390</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381" t="s">
        <v>1591</v>
      </c>
      <c r="H242" s="3518"/>
      <c r="I242" s="3518"/>
      <c r="J242" s="3519"/>
      <c r="K242" s="1163"/>
      <c r="L242" s="1163"/>
      <c r="M242" s="1163"/>
      <c r="N242" s="1163"/>
      <c r="O242" s="1163"/>
    </row>
    <row r="243" spans="2:15" ht="15.75" hidden="1" customHeight="1">
      <c r="B243" s="1">
        <v>2</v>
      </c>
      <c r="C243" s="1">
        <v>2</v>
      </c>
      <c r="D243" s="1326"/>
      <c r="E243" s="1143"/>
      <c r="F243" s="942" t="str">
        <f>IF(F241=$S$15,$T$11,IF(ROUNDDOWN(F241,0)=$S$11,$U$11,$T$11))</f>
        <v>　レベル　2</v>
      </c>
      <c r="G243" s="3385" t="s">
        <v>1592</v>
      </c>
      <c r="H243" s="3420"/>
      <c r="I243" s="3420"/>
      <c r="J243" s="3421"/>
      <c r="K243" s="1163"/>
      <c r="L243" s="1163"/>
      <c r="M243" s="1163"/>
      <c r="N243" s="1163"/>
      <c r="O243" s="1163"/>
    </row>
    <row r="244" spans="2:15" ht="15.75" hidden="1" customHeight="1">
      <c r="B244" s="1">
        <v>3</v>
      </c>
      <c r="C244" s="1">
        <v>3</v>
      </c>
      <c r="D244" s="1326"/>
      <c r="E244" s="1143"/>
      <c r="F244" s="942" t="str">
        <f>IF(F241=$S$15,$T$12,IF(ROUNDDOWN(F241,0)=$S$12,$U$12,$T$12))</f>
        <v>■レベル　3</v>
      </c>
      <c r="G244" s="3385" t="s">
        <v>3021</v>
      </c>
      <c r="H244" s="3420"/>
      <c r="I244" s="3420"/>
      <c r="J244" s="3421"/>
      <c r="K244" s="1163"/>
      <c r="L244" s="1163"/>
      <c r="M244" s="1163"/>
      <c r="N244" s="1163"/>
      <c r="O244" s="1163"/>
    </row>
    <row r="245" spans="2:15" ht="15.75" hidden="1" customHeight="1">
      <c r="B245" s="1" t="s">
        <v>391</v>
      </c>
      <c r="C245" s="1">
        <v>4</v>
      </c>
      <c r="D245" s="1326"/>
      <c r="E245" s="1143"/>
      <c r="F245" s="942" t="str">
        <f>IF(F241=$S$15,$T$13,IF(ROUNDDOWN(F241,0)=$S$13,$U$13,$T$13))</f>
        <v>　レベル　4</v>
      </c>
      <c r="G245" s="3385" t="s">
        <v>2178</v>
      </c>
      <c r="H245" s="3420"/>
      <c r="I245" s="3420"/>
      <c r="J245" s="3421"/>
      <c r="K245" s="1163"/>
      <c r="L245" s="1163"/>
      <c r="M245" s="1163"/>
      <c r="N245" s="1163"/>
      <c r="O245" s="1163"/>
    </row>
    <row r="246" spans="2:15" ht="15.75" hidden="1" customHeight="1">
      <c r="B246" s="1">
        <v>5</v>
      </c>
      <c r="C246" s="1">
        <v>5</v>
      </c>
      <c r="D246" s="1326"/>
      <c r="E246" s="1143"/>
      <c r="F246" s="953" t="str">
        <f>IF(F241=$S$15,$T$14,IF(ROUNDDOWN(F241,0)=$S$14,$U$14,$T$14))</f>
        <v>　レベル　5</v>
      </c>
      <c r="G246" s="3383" t="s">
        <v>3022</v>
      </c>
      <c r="H246" s="3430"/>
      <c r="I246" s="3430"/>
      <c r="J246" s="3431"/>
      <c r="K246" s="1163"/>
      <c r="L246" s="1163"/>
      <c r="M246" s="1163"/>
      <c r="N246" s="1163"/>
      <c r="O246" s="1163"/>
    </row>
    <row r="247" spans="2:15" ht="15.75">
      <c r="B247" s="960">
        <v>0</v>
      </c>
      <c r="C247" s="960">
        <v>0</v>
      </c>
      <c r="D247" s="1326"/>
      <c r="E247" s="1143"/>
      <c r="F247" s="1152"/>
      <c r="G247" s="995"/>
      <c r="H247" s="995"/>
      <c r="I247" s="995"/>
      <c r="J247" s="995"/>
      <c r="K247" s="1116"/>
      <c r="L247" s="1116"/>
      <c r="M247" s="1116"/>
      <c r="N247" s="1116"/>
      <c r="O247" s="1228"/>
    </row>
    <row r="248" spans="2:15" ht="15.75">
      <c r="D248" s="1326">
        <v>2.4</v>
      </c>
      <c r="E248" s="1143" t="s">
        <v>84</v>
      </c>
      <c r="F248" s="1152"/>
      <c r="G248" s="1153"/>
      <c r="H248" s="1153"/>
      <c r="I248" s="1153"/>
      <c r="J248" s="1153"/>
      <c r="K248" s="1152"/>
      <c r="L248" s="1152"/>
      <c r="M248" s="1152"/>
      <c r="N248" s="1152"/>
      <c r="O248" s="1152"/>
    </row>
    <row r="249" spans="2:15" ht="15.75">
      <c r="D249" s="1326"/>
      <c r="E249" s="1143"/>
      <c r="F249" s="1084" t="s">
        <v>393</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1364</v>
      </c>
      <c r="J250" s="927">
        <f>重み!M94</f>
        <v>0.2</v>
      </c>
      <c r="K250" s="1066"/>
      <c r="L250" s="1068"/>
      <c r="M250" s="962"/>
      <c r="N250" s="962"/>
      <c r="O250" s="1230"/>
    </row>
    <row r="251" spans="2:15" ht="27" customHeight="1" thickBot="1">
      <c r="D251" s="908"/>
      <c r="E251" s="913"/>
      <c r="F251" s="2056">
        <f>IF(K260&lt;&gt;0,ROUND((K261*K260)/K260,1),ROUND((G261*G260+I261*I260)/(G260+I260),1))</f>
        <v>3</v>
      </c>
      <c r="G251" s="1132" t="s">
        <v>394</v>
      </c>
      <c r="H251" s="1231"/>
      <c r="I251" s="1046" t="s">
        <v>395</v>
      </c>
      <c r="J251" s="1232"/>
      <c r="K251" s="3500" t="s">
        <v>396</v>
      </c>
      <c r="L251" s="3501"/>
      <c r="M251" s="962"/>
      <c r="N251" s="962"/>
      <c r="O251" s="962"/>
    </row>
    <row r="252" spans="2:15" ht="21" customHeight="1">
      <c r="B252" s="1">
        <v>1</v>
      </c>
      <c r="C252" s="1">
        <v>1</v>
      </c>
      <c r="D252" s="908"/>
      <c r="E252" s="913"/>
      <c r="F252" s="937" t="str">
        <f>IF(F251=$S$15,$T$10,IF(ROUNDDOWN(F251,0)=$S$10,$U$10,$T$10))</f>
        <v>　レベル　1</v>
      </c>
      <c r="G252" s="3381" t="s">
        <v>397</v>
      </c>
      <c r="H252" s="3387"/>
      <c r="I252" s="3381" t="s">
        <v>823</v>
      </c>
      <c r="J252" s="3399"/>
      <c r="K252" s="3381" t="s">
        <v>2178</v>
      </c>
      <c r="L252" s="3387"/>
      <c r="M252" s="1025"/>
      <c r="N252" s="1025"/>
      <c r="O252" s="1025"/>
    </row>
    <row r="253" spans="2:15" ht="21" customHeight="1">
      <c r="B253" s="1" t="s">
        <v>228</v>
      </c>
      <c r="C253" s="1">
        <v>2</v>
      </c>
      <c r="D253" s="908"/>
      <c r="E253" s="913"/>
      <c r="F253" s="942" t="str">
        <f>IF(F251=$S$15,$T$11,IF(ROUNDDOWN(F251,0)=$S$11,$U$11,$T$11))</f>
        <v>　レベル　2</v>
      </c>
      <c r="G253" s="3385" t="s">
        <v>2178</v>
      </c>
      <c r="H253" s="3386"/>
      <c r="I253" s="3385" t="s">
        <v>2178</v>
      </c>
      <c r="J253" s="3386"/>
      <c r="K253" s="3385" t="s">
        <v>2178</v>
      </c>
      <c r="L253" s="3429"/>
      <c r="M253" s="1025"/>
      <c r="N253" s="1025"/>
      <c r="O253" s="1025"/>
    </row>
    <row r="254" spans="2:15" ht="37.5" customHeight="1">
      <c r="B254" s="1">
        <v>3</v>
      </c>
      <c r="C254" s="1">
        <v>3</v>
      </c>
      <c r="D254" s="908"/>
      <c r="E254" s="913"/>
      <c r="F254" s="942" t="str">
        <f>IF(F251=$S$15,$T$12,IF(ROUNDDOWN(F251,0)=$S$12,$U$12,$T$12))</f>
        <v>■レベル　3</v>
      </c>
      <c r="G254" s="3385" t="s">
        <v>415</v>
      </c>
      <c r="H254" s="3386"/>
      <c r="I254" s="3385" t="s">
        <v>415</v>
      </c>
      <c r="J254" s="3386"/>
      <c r="K254" s="3385" t="s">
        <v>416</v>
      </c>
      <c r="L254" s="3429"/>
      <c r="M254" s="1025"/>
      <c r="N254" s="1025"/>
      <c r="O254" s="1025"/>
    </row>
    <row r="255" spans="2:15" ht="21" customHeight="1">
      <c r="B255" s="1">
        <v>4</v>
      </c>
      <c r="C255" s="1">
        <v>4</v>
      </c>
      <c r="D255" s="908"/>
      <c r="E255" s="913"/>
      <c r="F255" s="942" t="str">
        <f>IF(F251=$S$15,$T$13,IF(ROUNDDOWN(F251,0)=$S$13,$U$13,$T$13))</f>
        <v>　レベル　4</v>
      </c>
      <c r="G255" s="3385" t="s">
        <v>417</v>
      </c>
      <c r="H255" s="3386"/>
      <c r="I255" s="3385" t="s">
        <v>2178</v>
      </c>
      <c r="J255" s="3386"/>
      <c r="K255" s="3385" t="s">
        <v>418</v>
      </c>
      <c r="L255" s="3429"/>
      <c r="M255" s="1025"/>
      <c r="N255" s="1025"/>
      <c r="O255" s="1025"/>
    </row>
    <row r="256" spans="2:15" ht="21" customHeight="1" thickBot="1">
      <c r="B256" s="1">
        <v>5</v>
      </c>
      <c r="C256" s="1">
        <v>5</v>
      </c>
      <c r="D256" s="908"/>
      <c r="E256" s="913"/>
      <c r="F256" s="953" t="str">
        <f>IF(F251=$S$15,$T$14,IF(ROUNDDOWN(F251,0)=$S$14,$U$14,$T$14))</f>
        <v>　レベル　5</v>
      </c>
      <c r="G256" s="3383" t="s">
        <v>419</v>
      </c>
      <c r="H256" s="3384"/>
      <c r="I256" s="3383" t="s">
        <v>420</v>
      </c>
      <c r="J256" s="3384"/>
      <c r="K256" s="3383" t="s">
        <v>421</v>
      </c>
      <c r="L256" s="3413"/>
      <c r="M256" s="1025"/>
      <c r="N256" s="1025"/>
      <c r="O256" s="1025"/>
    </row>
    <row r="257" spans="2:15" ht="16.5" thickBot="1">
      <c r="B257" s="960">
        <v>0</v>
      </c>
      <c r="C257" s="960">
        <v>0</v>
      </c>
      <c r="D257" s="1010"/>
      <c r="E257" s="1233"/>
      <c r="F257" s="930">
        <v>0</v>
      </c>
      <c r="G257" s="1158" t="s">
        <v>2666</v>
      </c>
      <c r="H257" s="2777" t="s">
        <v>3339</v>
      </c>
      <c r="I257" s="1235"/>
      <c r="K257" s="1007"/>
      <c r="L257" s="1007"/>
      <c r="M257" s="1007"/>
      <c r="N257" s="1007"/>
      <c r="O257" s="1007"/>
    </row>
    <row r="258" spans="2:15" ht="15.75">
      <c r="D258" s="908"/>
      <c r="E258" s="1237"/>
      <c r="F258" s="2833" t="s">
        <v>422</v>
      </c>
      <c r="I258" s="1238"/>
      <c r="J258" s="1102"/>
      <c r="K258" s="962"/>
      <c r="L258" s="962"/>
      <c r="M258" s="962"/>
      <c r="N258" s="962"/>
      <c r="O258" s="962"/>
    </row>
    <row r="259" spans="2:15" ht="31.5" customHeight="1">
      <c r="D259" s="908"/>
      <c r="E259" s="1237"/>
      <c r="F259" s="1253" t="s">
        <v>423</v>
      </c>
      <c r="G259" s="1239" t="s">
        <v>424</v>
      </c>
      <c r="H259" s="1240"/>
      <c r="I259" s="1239" t="s">
        <v>425</v>
      </c>
      <c r="J259" s="1240"/>
      <c r="K259" s="3502" t="s">
        <v>426</v>
      </c>
      <c r="L259" s="3501"/>
      <c r="M259" s="962"/>
      <c r="N259" s="962"/>
      <c r="O259" s="962"/>
    </row>
    <row r="260" spans="2:15" ht="15.75">
      <c r="D260" s="908"/>
      <c r="E260" s="559"/>
      <c r="F260" s="1241" t="s">
        <v>427</v>
      </c>
      <c r="G260" s="1242">
        <f>IF(メイン!J66&gt;=2000,メイン!J47+メイン!J57+メイン!J61+メイン!J62+メイン!J60,0)</f>
        <v>30000</v>
      </c>
      <c r="H260" s="1243"/>
      <c r="I260" s="1242">
        <f>IF(メイン!J66&gt;=2000,メイン!J49+メイン!J54+メイン!J56+メイン!J64,0)</f>
        <v>0</v>
      </c>
      <c r="J260" s="1243"/>
      <c r="K260" s="1242">
        <f>IF(メイン!J66&lt;2000,メイン!J66,0)</f>
        <v>0</v>
      </c>
      <c r="L260" s="1243"/>
      <c r="M260" s="962"/>
      <c r="N260" s="962"/>
      <c r="O260" s="962"/>
    </row>
    <row r="261" spans="2:15" ht="16.5" thickBot="1">
      <c r="D261" s="908"/>
      <c r="E261" s="559"/>
      <c r="F261" s="1244" t="s">
        <v>428</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516" t="s">
        <v>592</v>
      </c>
      <c r="H262" s="3401"/>
      <c r="I262" s="3401"/>
      <c r="J262" s="3401"/>
      <c r="K262" s="3401"/>
      <c r="L262" s="3387"/>
      <c r="M262" s="962"/>
      <c r="N262" s="962"/>
      <c r="O262" s="962"/>
    </row>
    <row r="263" spans="2:15" ht="30.75" customHeight="1">
      <c r="D263" s="908"/>
      <c r="E263" s="559"/>
      <c r="F263" s="1249" t="s">
        <v>2671</v>
      </c>
      <c r="G263" s="3497" t="s">
        <v>593</v>
      </c>
      <c r="H263" s="3498"/>
      <c r="I263" s="3498"/>
      <c r="J263" s="3498"/>
      <c r="K263" s="3498"/>
      <c r="L263" s="3499"/>
      <c r="M263" s="962"/>
      <c r="N263" s="962"/>
      <c r="O263" s="962"/>
    </row>
    <row r="264" spans="2:15" ht="30.75" customHeight="1">
      <c r="D264" s="908"/>
      <c r="E264" s="559"/>
      <c r="F264" s="1249"/>
      <c r="G264" s="3497" t="s">
        <v>594</v>
      </c>
      <c r="H264" s="3498"/>
      <c r="I264" s="3498"/>
      <c r="J264" s="3498"/>
      <c r="K264" s="3498"/>
      <c r="L264" s="3499"/>
      <c r="M264" s="962"/>
      <c r="N264" s="962"/>
      <c r="O264" s="962"/>
    </row>
    <row r="265" spans="2:15" ht="35.25" customHeight="1" thickBot="1">
      <c r="D265" s="908"/>
      <c r="E265" s="559"/>
      <c r="F265" s="1250"/>
      <c r="G265" s="3494" t="s">
        <v>595</v>
      </c>
      <c r="H265" s="3495"/>
      <c r="I265" s="3495"/>
      <c r="J265" s="3495"/>
      <c r="K265" s="3495"/>
      <c r="L265" s="3496"/>
      <c r="M265" s="1230"/>
      <c r="N265" s="1230"/>
      <c r="O265" s="1230"/>
    </row>
    <row r="266" spans="2:15" s="2687" customFormat="1" ht="15.75">
      <c r="D266" s="908"/>
      <c r="E266" s="559"/>
      <c r="F266" s="2842" t="s">
        <v>39</v>
      </c>
      <c r="G266" s="2767">
        <f>COUNTIF(F262:F265,$S$3)</f>
        <v>1</v>
      </c>
      <c r="H266" s="1209"/>
      <c r="I266" s="1209"/>
      <c r="J266" s="2765"/>
      <c r="K266" s="2765"/>
      <c r="L266" s="2776"/>
      <c r="M266" s="1230"/>
      <c r="N266" s="1230"/>
      <c r="O266" s="1230"/>
    </row>
    <row r="267" spans="2:15" ht="15.75">
      <c r="D267" s="908"/>
      <c r="E267" s="559"/>
      <c r="F267" s="1251"/>
      <c r="G267" s="1252"/>
      <c r="H267" s="1252"/>
      <c r="I267" s="1252"/>
      <c r="J267" s="1252"/>
      <c r="K267" s="1251"/>
      <c r="L267" s="1252"/>
      <c r="M267" s="1252"/>
      <c r="N267" s="1252"/>
      <c r="O267" s="1252"/>
    </row>
    <row r="268" spans="2:15" ht="15.75">
      <c r="D268" s="908"/>
      <c r="E268" s="559"/>
      <c r="F268" s="1084" t="s">
        <v>596</v>
      </c>
      <c r="G268" s="1153"/>
      <c r="H268" s="1153"/>
      <c r="I268" s="1153"/>
      <c r="J268" s="999" t="str">
        <f>IF(OR(F270=0,J269=0),$R$3,"")</f>
        <v/>
      </c>
      <c r="K268" s="1251"/>
      <c r="L268" s="1252"/>
      <c r="M268" s="1252"/>
      <c r="N268" s="1252"/>
      <c r="O268" s="1252"/>
    </row>
    <row r="269" spans="2:15" ht="16.5" thickBot="1">
      <c r="D269" s="908"/>
      <c r="E269" s="559"/>
      <c r="F269" s="1065"/>
      <c r="G269" s="924"/>
      <c r="H269" s="925"/>
      <c r="I269" s="926" t="s">
        <v>1364</v>
      </c>
      <c r="J269" s="929">
        <f>重み!M95</f>
        <v>0.2</v>
      </c>
      <c r="K269" s="1251"/>
      <c r="L269" s="1252"/>
      <c r="M269" s="1252"/>
      <c r="N269" s="1252"/>
      <c r="O269" s="1252"/>
    </row>
    <row r="270" spans="2:15" ht="27" customHeight="1" thickBot="1">
      <c r="D270" s="908"/>
      <c r="E270" s="559"/>
      <c r="F270" s="2056">
        <f>ROUND((G280*G279+J280*J279)/(G279+J279),1)</f>
        <v>3</v>
      </c>
      <c r="G270" s="1132" t="s">
        <v>597</v>
      </c>
      <c r="H270" s="1231"/>
      <c r="I270" s="1046" t="s">
        <v>598</v>
      </c>
      <c r="J270" s="1232"/>
      <c r="K270" s="1251"/>
      <c r="L270" s="1252"/>
      <c r="M270" s="1252"/>
      <c r="N270" s="1252"/>
      <c r="O270" s="1252"/>
    </row>
    <row r="271" spans="2:15" ht="21" customHeight="1">
      <c r="B271" s="1">
        <v>1</v>
      </c>
      <c r="C271" s="1">
        <v>1</v>
      </c>
      <c r="D271" s="908"/>
      <c r="E271" s="559"/>
      <c r="F271" s="937" t="str">
        <f>IF(F270=$S$15,$T$10,IF(ROUNDDOWN(F270,0)=$S$10,$U$10,$T$10))</f>
        <v>　レベル　1</v>
      </c>
      <c r="G271" s="3381" t="s">
        <v>397</v>
      </c>
      <c r="H271" s="3387"/>
      <c r="I271" s="3381" t="s">
        <v>397</v>
      </c>
      <c r="J271" s="3399"/>
      <c r="K271" s="1251"/>
      <c r="L271" s="1252"/>
      <c r="M271" s="1252"/>
      <c r="N271" s="1252"/>
      <c r="O271" s="1252"/>
    </row>
    <row r="272" spans="2:15" ht="21" customHeight="1">
      <c r="B272" s="1">
        <v>2</v>
      </c>
      <c r="C272" s="1">
        <v>2</v>
      </c>
      <c r="D272" s="908"/>
      <c r="E272" s="559"/>
      <c r="F272" s="942" t="str">
        <f>IF(F270=$S$15,$T$11,IF(ROUNDDOWN(F270,0)=$S$11,$U$11,$T$11))</f>
        <v>　レベル　2</v>
      </c>
      <c r="G272" s="3385" t="s">
        <v>599</v>
      </c>
      <c r="H272" s="3386"/>
      <c r="I272" s="3385" t="s">
        <v>599</v>
      </c>
      <c r="J272" s="3386"/>
      <c r="K272" s="1251"/>
      <c r="L272" s="1252"/>
      <c r="M272" s="1252"/>
      <c r="N272" s="1252"/>
      <c r="O272" s="1252"/>
    </row>
    <row r="273" spans="2:15" ht="21" customHeight="1">
      <c r="B273" s="1">
        <v>3</v>
      </c>
      <c r="C273" s="1">
        <v>3</v>
      </c>
      <c r="D273" s="908"/>
      <c r="E273" s="559"/>
      <c r="F273" s="942" t="str">
        <f>IF(F270=$S$15,$T$12,IF(ROUNDDOWN(F270,0)=$S$12,$U$12,$T$12))</f>
        <v>■レベル　3</v>
      </c>
      <c r="G273" s="3385" t="s">
        <v>1812</v>
      </c>
      <c r="H273" s="3386"/>
      <c r="I273" s="3385" t="s">
        <v>1812</v>
      </c>
      <c r="J273" s="3386"/>
      <c r="K273" s="1251"/>
      <c r="L273" s="1252"/>
      <c r="M273" s="1252"/>
      <c r="N273" s="1252"/>
      <c r="O273" s="1252"/>
    </row>
    <row r="274" spans="2:15" ht="21" customHeight="1">
      <c r="B274" s="1">
        <v>4</v>
      </c>
      <c r="C274" s="1">
        <v>4</v>
      </c>
      <c r="D274" s="908"/>
      <c r="E274" s="559"/>
      <c r="F274" s="942" t="str">
        <f>IF(F270=$S$15,$T$13,IF(ROUNDDOWN(F270,0)=$S$13,$U$13,$T$13))</f>
        <v>　レベル　4</v>
      </c>
      <c r="G274" s="3385" t="s">
        <v>36</v>
      </c>
      <c r="H274" s="3386"/>
      <c r="I274" s="3385" t="s">
        <v>2178</v>
      </c>
      <c r="J274" s="3386"/>
      <c r="K274" s="1251"/>
      <c r="L274" s="1252"/>
      <c r="M274" s="1252"/>
      <c r="N274" s="1252"/>
      <c r="O274" s="1252"/>
    </row>
    <row r="275" spans="2:15" ht="21" customHeight="1" thickBot="1">
      <c r="B275" s="1">
        <v>5</v>
      </c>
      <c r="C275" s="1">
        <v>5</v>
      </c>
      <c r="D275" s="908"/>
      <c r="E275" s="559"/>
      <c r="F275" s="953" t="str">
        <f>IF(F270=$S$15,$T$14,IF(ROUNDDOWN(F270,0)=$S$14,$U$14,$T$14))</f>
        <v>　レベル　5</v>
      </c>
      <c r="G275" s="3383" t="s">
        <v>37</v>
      </c>
      <c r="H275" s="3384"/>
      <c r="I275" s="3383" t="s">
        <v>38</v>
      </c>
      <c r="J275" s="3384"/>
      <c r="K275" s="1251"/>
      <c r="L275" s="1252"/>
      <c r="M275" s="1252"/>
      <c r="N275" s="1252"/>
      <c r="O275" s="1252"/>
    </row>
    <row r="276" spans="2:15" ht="16.5" thickBot="1">
      <c r="B276" s="960">
        <v>0</v>
      </c>
      <c r="C276" s="960">
        <v>0</v>
      </c>
      <c r="D276" s="908"/>
      <c r="E276" s="559"/>
      <c r="F276" s="930">
        <v>0</v>
      </c>
      <c r="G276" s="1158" t="s">
        <v>2666</v>
      </c>
      <c r="H276" s="2777" t="s">
        <v>3339</v>
      </c>
      <c r="I276" s="1236"/>
      <c r="J276" s="1235"/>
      <c r="K276" s="1251"/>
      <c r="L276" s="1252"/>
      <c r="M276" s="1252"/>
      <c r="N276" s="1252"/>
      <c r="O276" s="1252"/>
    </row>
    <row r="277" spans="2:15" ht="15.75">
      <c r="D277" s="908"/>
      <c r="E277" s="559"/>
      <c r="F277" s="2833" t="s">
        <v>2678</v>
      </c>
      <c r="I277" s="1228"/>
      <c r="K277" s="1251"/>
      <c r="L277" s="1252"/>
      <c r="M277" s="1252"/>
      <c r="N277" s="1252"/>
      <c r="O277" s="1252"/>
    </row>
    <row r="278" spans="2:15" ht="15.75">
      <c r="D278" s="908"/>
      <c r="E278" s="559"/>
      <c r="F278" s="1253" t="s">
        <v>423</v>
      </c>
      <c r="G278" s="1239" t="s">
        <v>1813</v>
      </c>
      <c r="H278" s="1240"/>
      <c r="I278" s="1240"/>
      <c r="J278" s="1239" t="s">
        <v>1586</v>
      </c>
      <c r="K278" s="1240"/>
      <c r="L278" s="1240"/>
      <c r="M278" s="1252"/>
      <c r="N278" s="1252"/>
      <c r="O278" s="1252"/>
    </row>
    <row r="279" spans="2:15" ht="15.75">
      <c r="D279" s="908"/>
      <c r="E279" s="559"/>
      <c r="F279" s="1241" t="s">
        <v>427</v>
      </c>
      <c r="G279" s="1242">
        <f>メイン!J47+メイン!J49+メイン!J57+メイン!J61+メイン!J62+メイン!J64+メイン!J60</f>
        <v>30000</v>
      </c>
      <c r="H279" s="1254"/>
      <c r="I279" s="1243"/>
      <c r="J279" s="1242">
        <f>メイン!J54+メイン!J56</f>
        <v>0</v>
      </c>
      <c r="K279" s="1254"/>
      <c r="L279" s="1243"/>
      <c r="M279" s="1252"/>
      <c r="N279" s="1252"/>
      <c r="O279" s="1252"/>
    </row>
    <row r="280" spans="2:15" ht="16.5" thickBot="1">
      <c r="D280" s="908"/>
      <c r="E280" s="559"/>
      <c r="F280" s="1244" t="s">
        <v>428</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2671</v>
      </c>
      <c r="G281" s="3516" t="s">
        <v>600</v>
      </c>
      <c r="H281" s="3401"/>
      <c r="I281" s="3401"/>
      <c r="J281" s="3401"/>
      <c r="K281" s="3401"/>
      <c r="L281" s="3387"/>
      <c r="M281" s="1252"/>
      <c r="N281" s="1252"/>
      <c r="O281" s="1252"/>
    </row>
    <row r="282" spans="2:15" ht="15.75" customHeight="1">
      <c r="D282" s="908"/>
      <c r="E282" s="559"/>
      <c r="F282" s="1249"/>
      <c r="G282" s="3497" t="s">
        <v>601</v>
      </c>
      <c r="H282" s="3498"/>
      <c r="I282" s="3498"/>
      <c r="J282" s="3498"/>
      <c r="K282" s="3498"/>
      <c r="L282" s="3499"/>
      <c r="M282" s="1252"/>
      <c r="N282" s="1252"/>
      <c r="O282" s="1252"/>
    </row>
    <row r="283" spans="2:15" ht="31.5" customHeight="1">
      <c r="D283" s="908"/>
      <c r="E283" s="559"/>
      <c r="F283" s="1249"/>
      <c r="G283" s="3497" t="s">
        <v>602</v>
      </c>
      <c r="H283" s="3498"/>
      <c r="I283" s="3498"/>
      <c r="J283" s="3498"/>
      <c r="K283" s="3498"/>
      <c r="L283" s="3499"/>
      <c r="M283" s="1252"/>
      <c r="N283" s="1252"/>
      <c r="O283" s="1252"/>
    </row>
    <row r="284" spans="2:15" ht="15.75" customHeight="1">
      <c r="D284" s="908"/>
      <c r="E284" s="559"/>
      <c r="F284" s="1249" t="s">
        <v>2671</v>
      </c>
      <c r="G284" s="3497" t="s">
        <v>603</v>
      </c>
      <c r="H284" s="3498"/>
      <c r="I284" s="3498"/>
      <c r="J284" s="3498"/>
      <c r="K284" s="3498"/>
      <c r="L284" s="3499"/>
      <c r="M284" s="1252"/>
      <c r="N284" s="1252"/>
      <c r="O284" s="1252"/>
    </row>
    <row r="285" spans="2:15" ht="15.75" customHeight="1">
      <c r="D285" s="908"/>
      <c r="E285" s="559"/>
      <c r="F285" s="1249"/>
      <c r="G285" s="3497" t="s">
        <v>604</v>
      </c>
      <c r="H285" s="3498"/>
      <c r="I285" s="3498"/>
      <c r="J285" s="3498"/>
      <c r="K285" s="3498"/>
      <c r="L285" s="3499"/>
      <c r="M285" s="1252"/>
      <c r="N285" s="1252"/>
      <c r="O285" s="1252"/>
    </row>
    <row r="286" spans="2:15" ht="36.75" customHeight="1">
      <c r="D286" s="908"/>
      <c r="E286" s="559"/>
      <c r="F286" s="1249"/>
      <c r="G286" s="3497" t="s">
        <v>1814</v>
      </c>
      <c r="H286" s="3498"/>
      <c r="I286" s="3498"/>
      <c r="J286" s="3498"/>
      <c r="K286" s="3498"/>
      <c r="L286" s="3499"/>
      <c r="M286" s="1252"/>
      <c r="N286" s="1252"/>
      <c r="O286" s="1252"/>
    </row>
    <row r="287" spans="2:15" ht="20.25" customHeight="1" thickBot="1">
      <c r="D287" s="908"/>
      <c r="E287" s="559"/>
      <c r="F287" s="2096"/>
      <c r="G287" s="3481" t="s">
        <v>35</v>
      </c>
      <c r="H287" s="3482"/>
      <c r="I287" s="3482"/>
      <c r="J287" s="3482"/>
      <c r="K287" s="3482"/>
      <c r="L287" s="3483"/>
      <c r="M287" s="1252"/>
      <c r="N287" s="1252"/>
      <c r="O287" s="1252"/>
    </row>
    <row r="288" spans="2:15" ht="15.75">
      <c r="D288" s="908"/>
      <c r="E288" s="559"/>
      <c r="F288" s="2098" t="s">
        <v>39</v>
      </c>
      <c r="G288" s="2845">
        <f>COUNTIF(F281:F287,$S$3)</f>
        <v>2</v>
      </c>
      <c r="H288" s="1245"/>
      <c r="I288" s="1245"/>
      <c r="J288" s="2845">
        <f>G288-COUNTIF(F286,$S$3)</f>
        <v>2</v>
      </c>
      <c r="K288" s="1245"/>
      <c r="L288" s="1245"/>
      <c r="M288" s="1252"/>
      <c r="N288" s="1252"/>
      <c r="O288" s="1252"/>
    </row>
    <row r="289" spans="2:15" ht="15.75">
      <c r="D289" s="908"/>
      <c r="E289" s="559"/>
      <c r="F289" s="1251"/>
      <c r="G289" s="1252"/>
      <c r="H289" s="1252"/>
      <c r="I289" s="1252"/>
      <c r="J289" s="1252"/>
      <c r="K289" s="1251"/>
      <c r="L289" s="1252"/>
      <c r="M289" s="1252"/>
      <c r="N289" s="1252"/>
      <c r="O289" s="1252"/>
    </row>
    <row r="290" spans="2:15" ht="15.75">
      <c r="D290" s="908"/>
      <c r="E290" s="559"/>
      <c r="F290" s="1084" t="s">
        <v>1815</v>
      </c>
      <c r="G290" s="1153"/>
      <c r="H290" s="1153"/>
      <c r="I290" s="1153"/>
      <c r="J290" s="999" t="str">
        <f>IF(OR(F292=0,J291=0),$R$3,"")</f>
        <v/>
      </c>
      <c r="K290" s="1152"/>
      <c r="L290" s="1152"/>
      <c r="M290" s="1252"/>
      <c r="N290" s="1252"/>
      <c r="O290" s="1252"/>
    </row>
    <row r="291" spans="2:15" ht="16.5" thickBot="1">
      <c r="D291" s="908"/>
      <c r="E291" s="1229"/>
      <c r="F291" s="1065"/>
      <c r="G291" s="924"/>
      <c r="H291" s="925"/>
      <c r="I291" s="926" t="s">
        <v>1364</v>
      </c>
      <c r="J291" s="927">
        <f>重み!M96</f>
        <v>0.2</v>
      </c>
      <c r="K291" s="1066"/>
      <c r="L291" s="1066"/>
      <c r="M291" s="1066"/>
      <c r="N291" s="1068"/>
      <c r="O291" s="962"/>
    </row>
    <row r="292" spans="2:15" ht="27" customHeight="1" thickBot="1">
      <c r="D292" s="908"/>
      <c r="E292" s="1229"/>
      <c r="F292" s="2056">
        <f>IF(メイン!J66&gt;2000,G301,K301)</f>
        <v>3</v>
      </c>
      <c r="G292" s="1132" t="s">
        <v>835</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468" t="s">
        <v>397</v>
      </c>
      <c r="H293" s="3469"/>
      <c r="I293" s="3469"/>
      <c r="J293" s="3548"/>
      <c r="K293" s="3468" t="s">
        <v>359</v>
      </c>
      <c r="L293" s="3469"/>
      <c r="M293" s="3469"/>
      <c r="N293" s="3548"/>
      <c r="O293" s="962"/>
    </row>
    <row r="294" spans="2:15" ht="21" customHeight="1">
      <c r="B294" s="1" t="s">
        <v>228</v>
      </c>
      <c r="C294" s="1">
        <v>2</v>
      </c>
      <c r="D294" s="908"/>
      <c r="E294" s="1059"/>
      <c r="F294" s="942" t="str">
        <f>IF(F292=$S$15,$T$11,IF(ROUNDDOWN(F292,0)=$S$11,$U$11,$T$11))</f>
        <v>　レベル　2</v>
      </c>
      <c r="G294" s="3464" t="s">
        <v>2178</v>
      </c>
      <c r="H294" s="3465"/>
      <c r="I294" s="3466"/>
      <c r="J294" s="3467"/>
      <c r="K294" s="3464" t="s">
        <v>2178</v>
      </c>
      <c r="L294" s="3465"/>
      <c r="M294" s="3466"/>
      <c r="N294" s="3467"/>
      <c r="O294" s="962"/>
    </row>
    <row r="295" spans="2:15" ht="21" customHeight="1">
      <c r="B295" s="1">
        <v>3</v>
      </c>
      <c r="C295" s="1">
        <v>3</v>
      </c>
      <c r="D295" s="908"/>
      <c r="E295" s="1059"/>
      <c r="F295" s="942" t="str">
        <f>IF(F292=$S$15,$T$12,IF(ROUNDDOWN(F292,0)=$S$12,$U$12,$T$12))</f>
        <v>■レベル　3</v>
      </c>
      <c r="G295" s="3464" t="s">
        <v>43</v>
      </c>
      <c r="H295" s="3465"/>
      <c r="I295" s="3466"/>
      <c r="J295" s="3467"/>
      <c r="K295" s="3464" t="s">
        <v>50</v>
      </c>
      <c r="L295" s="3465"/>
      <c r="M295" s="3466"/>
      <c r="N295" s="3467"/>
      <c r="O295" s="962"/>
    </row>
    <row r="296" spans="2:15" ht="21" customHeight="1">
      <c r="B296" s="1">
        <v>4</v>
      </c>
      <c r="C296" s="1">
        <v>4</v>
      </c>
      <c r="D296" s="908"/>
      <c r="E296" s="1059"/>
      <c r="F296" s="942" t="str">
        <f>IF(F292=$S$15,$T$13,IF(ROUNDDOWN(F292,0)=$S$13,$U$13,$T$13))</f>
        <v>　レベル　4</v>
      </c>
      <c r="G296" s="3464" t="s">
        <v>36</v>
      </c>
      <c r="H296" s="3465"/>
      <c r="I296" s="3466"/>
      <c r="J296" s="3467"/>
      <c r="K296" s="3464" t="s">
        <v>51</v>
      </c>
      <c r="L296" s="3465"/>
      <c r="M296" s="3466"/>
      <c r="N296" s="3467"/>
      <c r="O296" s="962"/>
    </row>
    <row r="297" spans="2:15" ht="21" customHeight="1" thickBot="1">
      <c r="B297" s="1">
        <v>5</v>
      </c>
      <c r="C297" s="1">
        <v>5</v>
      </c>
      <c r="D297" s="908"/>
      <c r="E297" s="1059"/>
      <c r="F297" s="953" t="str">
        <f>IF(F292=$S$15,$T$14,IF(ROUNDDOWN(F292,0)=$S$14,$U$14,$T$14))</f>
        <v>　レベル　5</v>
      </c>
      <c r="G297" s="3543" t="s">
        <v>37</v>
      </c>
      <c r="H297" s="3544"/>
      <c r="I297" s="3545"/>
      <c r="J297" s="3546"/>
      <c r="K297" s="3543" t="s">
        <v>52</v>
      </c>
      <c r="L297" s="3544"/>
      <c r="M297" s="3545"/>
      <c r="N297" s="3546"/>
      <c r="O297" s="962"/>
    </row>
    <row r="298" spans="2:15" ht="16.5" thickBot="1">
      <c r="B298" s="960">
        <v>0</v>
      </c>
      <c r="C298" s="960">
        <v>0</v>
      </c>
      <c r="D298" s="1010"/>
      <c r="E298" s="1256"/>
      <c r="F298" s="930">
        <v>0</v>
      </c>
      <c r="G298" s="1158" t="s">
        <v>2666</v>
      </c>
      <c r="H298" s="2777" t="s">
        <v>3339</v>
      </c>
      <c r="J298" s="1235"/>
      <c r="K298" s="1236"/>
      <c r="L298" s="1236"/>
      <c r="M298" s="1006"/>
      <c r="N298" s="1006"/>
      <c r="O298" s="1006"/>
    </row>
    <row r="299" spans="2:15" ht="15.75">
      <c r="D299" s="908"/>
      <c r="E299" s="559"/>
      <c r="F299" s="2833" t="s">
        <v>2678</v>
      </c>
      <c r="I299" s="1102"/>
      <c r="J299" s="1238"/>
      <c r="K299" s="1228"/>
      <c r="L299" s="1228"/>
      <c r="M299" s="1116"/>
      <c r="N299" s="1116"/>
      <c r="O299" s="1116"/>
    </row>
    <row r="300" spans="2:15" ht="15.75">
      <c r="D300" s="908"/>
      <c r="E300" s="559"/>
      <c r="F300" s="1257" t="s">
        <v>1816</v>
      </c>
      <c r="G300" s="1239" t="s">
        <v>48</v>
      </c>
      <c r="H300" s="1258"/>
      <c r="I300" s="1239"/>
      <c r="J300" s="1258"/>
      <c r="K300" s="1239" t="s">
        <v>49</v>
      </c>
      <c r="L300" s="1258"/>
      <c r="M300" s="1239"/>
      <c r="N300" s="1258"/>
      <c r="O300" s="1116"/>
    </row>
    <row r="301" spans="2:15" ht="16.5" thickBot="1">
      <c r="D301" s="908"/>
      <c r="E301" s="559"/>
      <c r="F301" s="1259" t="s">
        <v>428</v>
      </c>
      <c r="G301" s="2844">
        <f>IF(H298=T4,F298,IF(G308&lt;1,1,IF(G308&lt;=2,3,IF(G308=3,4,IF(G308&gt;=4,5)))))</f>
        <v>3</v>
      </c>
      <c r="H301" s="1261"/>
      <c r="I301" s="1260"/>
      <c r="J301" s="1261"/>
      <c r="K301" s="2844">
        <f>IF(H298=T4,F298,IF(K308=1,4,IF(K308&gt;=2,5,3)))</f>
        <v>5</v>
      </c>
      <c r="L301" s="1261"/>
      <c r="M301" s="1260"/>
      <c r="N301" s="1261"/>
      <c r="O301" s="1116"/>
    </row>
    <row r="302" spans="2:15" ht="15.75" customHeight="1">
      <c r="D302" s="908"/>
      <c r="E302" s="1237"/>
      <c r="F302" s="1246" t="s">
        <v>2671</v>
      </c>
      <c r="G302" s="3510" t="s">
        <v>40</v>
      </c>
      <c r="H302" s="3511"/>
      <c r="I302" s="3511"/>
      <c r="J302" s="3511"/>
      <c r="K302" s="3511"/>
      <c r="L302" s="3511"/>
      <c r="M302" s="3511"/>
      <c r="N302" s="3512"/>
      <c r="O302" s="1116"/>
    </row>
    <row r="303" spans="2:15" ht="15.75" customHeight="1">
      <c r="D303" s="908"/>
      <c r="E303" s="1237"/>
      <c r="F303" s="1249" t="s">
        <v>2671</v>
      </c>
      <c r="G303" s="3513" t="s">
        <v>605</v>
      </c>
      <c r="H303" s="3498"/>
      <c r="I303" s="3498"/>
      <c r="J303" s="3498"/>
      <c r="K303" s="3498"/>
      <c r="L303" s="3498"/>
      <c r="M303" s="3498"/>
      <c r="N303" s="3499"/>
      <c r="O303" s="1116"/>
    </row>
    <row r="304" spans="2:15" ht="15.75">
      <c r="D304" s="908"/>
      <c r="E304" s="1237"/>
      <c r="F304" s="1249"/>
      <c r="G304" s="3513" t="s">
        <v>44</v>
      </c>
      <c r="H304" s="3498"/>
      <c r="I304" s="3498"/>
      <c r="J304" s="3498"/>
      <c r="K304" s="3498"/>
      <c r="L304" s="3498"/>
      <c r="M304" s="3498"/>
      <c r="N304" s="3499"/>
      <c r="O304" s="1116"/>
    </row>
    <row r="305" spans="2:15" ht="72.75" customHeight="1">
      <c r="D305" s="908"/>
      <c r="E305" s="1237"/>
      <c r="F305" s="2095"/>
      <c r="G305" s="3497" t="s">
        <v>45</v>
      </c>
      <c r="H305" s="3498"/>
      <c r="I305" s="3498"/>
      <c r="J305" s="3498"/>
      <c r="K305" s="3498"/>
      <c r="L305" s="3498"/>
      <c r="M305" s="3498"/>
      <c r="N305" s="3499"/>
      <c r="O305" s="1116"/>
    </row>
    <row r="306" spans="2:15" ht="15.75">
      <c r="B306" s="1630"/>
      <c r="C306" s="1630"/>
      <c r="D306" s="908"/>
      <c r="E306" s="1237"/>
      <c r="F306" s="2095"/>
      <c r="G306" s="3513" t="s">
        <v>46</v>
      </c>
      <c r="H306" s="3498"/>
      <c r="I306" s="3498"/>
      <c r="J306" s="3498"/>
      <c r="K306" s="3498"/>
      <c r="L306" s="3498"/>
      <c r="M306" s="3498"/>
      <c r="N306" s="3499"/>
      <c r="O306" s="1116"/>
    </row>
    <row r="307" spans="2:15" ht="16.5" thickBot="1">
      <c r="D307" s="908"/>
      <c r="E307" s="1237"/>
      <c r="F307" s="1255"/>
      <c r="G307" s="3494" t="s">
        <v>47</v>
      </c>
      <c r="H307" s="3430"/>
      <c r="I307" s="3430"/>
      <c r="J307" s="3430"/>
      <c r="K307" s="3430"/>
      <c r="L307" s="3430"/>
      <c r="M307" s="3430"/>
      <c r="N307" s="3431"/>
      <c r="O307" s="1116"/>
    </row>
    <row r="308" spans="2:15" s="2687" customFormat="1" ht="15.75">
      <c r="D308" s="908"/>
      <c r="E308" s="1237"/>
      <c r="F308" s="2098" t="s">
        <v>39</v>
      </c>
      <c r="G308" s="2846">
        <f>COUNTIF(F302:F307,$S$3)</f>
        <v>2</v>
      </c>
      <c r="H308" s="2846"/>
      <c r="I308" s="2846"/>
      <c r="J308" s="2846"/>
      <c r="K308" s="2847">
        <f>COUNTIF(F306:F307,$S$3)+COUNTIF(F302:F304,$S$3)</f>
        <v>2</v>
      </c>
      <c r="L308" s="2846"/>
      <c r="M308" s="2846"/>
      <c r="N308" s="2848"/>
      <c r="O308" s="1116"/>
    </row>
    <row r="309" spans="2:15" ht="15.75">
      <c r="D309" s="908"/>
      <c r="E309" s="559"/>
      <c r="F309" s="1102"/>
      <c r="G309" s="1263"/>
      <c r="H309" s="1263"/>
      <c r="I309" s="1263"/>
      <c r="J309" s="1251"/>
      <c r="K309" s="1263"/>
      <c r="L309" s="1263"/>
      <c r="M309" s="1116"/>
      <c r="N309" s="1116"/>
      <c r="O309" s="1116"/>
    </row>
    <row r="310" spans="2:15" ht="15.75">
      <c r="D310" s="908"/>
      <c r="E310" s="559"/>
      <c r="F310" s="1084" t="s">
        <v>606</v>
      </c>
      <c r="G310" s="1153"/>
      <c r="H310" s="1153"/>
      <c r="I310" s="1153"/>
      <c r="J310" s="999" t="str">
        <f>IF(OR(F312=0,J311=0),$R$3,"")</f>
        <v/>
      </c>
      <c r="K310" s="1263"/>
      <c r="L310" s="1263"/>
      <c r="M310" s="1116"/>
      <c r="N310" s="1116"/>
      <c r="O310" s="1116"/>
    </row>
    <row r="311" spans="2:15" ht="16.5" thickBot="1">
      <c r="D311" s="908"/>
      <c r="E311" s="559"/>
      <c r="F311" s="1065"/>
      <c r="G311" s="924"/>
      <c r="H311" s="925"/>
      <c r="I311" s="926" t="s">
        <v>1364</v>
      </c>
      <c r="J311" s="927">
        <f>重み!M97</f>
        <v>0.2</v>
      </c>
      <c r="K311" s="1066"/>
      <c r="L311" s="1066"/>
      <c r="M311" s="1066"/>
      <c r="N311" s="1066"/>
      <c r="O311" s="936"/>
    </row>
    <row r="312" spans="2:15" ht="27" customHeight="1" thickBot="1">
      <c r="D312" s="908"/>
      <c r="E312" s="559"/>
      <c r="F312" s="930">
        <v>3</v>
      </c>
      <c r="G312" s="934" t="s">
        <v>835</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413</v>
      </c>
      <c r="H313" s="940"/>
      <c r="I313" s="940"/>
      <c r="J313" s="940"/>
      <c r="K313" s="940"/>
      <c r="L313" s="1265"/>
      <c r="M313" s="940"/>
      <c r="N313" s="940"/>
      <c r="O313" s="941"/>
    </row>
    <row r="314" spans="2:15" ht="21" customHeight="1">
      <c r="B314" s="1" t="s">
        <v>1509</v>
      </c>
      <c r="C314" s="1">
        <v>2</v>
      </c>
      <c r="D314" s="908"/>
      <c r="E314" s="559"/>
      <c r="F314" s="942" t="str">
        <f>IF(F312=$S$15,$T$11,IF(ROUNDDOWN(F312,0)=$S$11,$U$11,$T$11))</f>
        <v>　レベル　2</v>
      </c>
      <c r="G314" s="946" t="s">
        <v>2178</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385" t="s">
        <v>429</v>
      </c>
      <c r="H315" s="3551"/>
      <c r="I315" s="3551"/>
      <c r="J315" s="3551"/>
      <c r="K315" s="3551"/>
      <c r="L315" s="3551"/>
      <c r="M315" s="3551"/>
      <c r="N315" s="3551"/>
      <c r="O315" s="3552"/>
    </row>
    <row r="316" spans="2:15" ht="27" customHeight="1">
      <c r="B316" s="1">
        <v>4</v>
      </c>
      <c r="C316" s="1">
        <v>4</v>
      </c>
      <c r="D316" s="908"/>
      <c r="E316" s="559"/>
      <c r="F316" s="942" t="str">
        <f>IF(F312=$S$15,$T$13,IF(ROUNDDOWN(F312,0)=$S$13,$U$13,$T$13))</f>
        <v>　レベル　4</v>
      </c>
      <c r="G316" s="3385" t="s">
        <v>53</v>
      </c>
      <c r="H316" s="3551"/>
      <c r="I316" s="3551"/>
      <c r="J316" s="3551"/>
      <c r="K316" s="3551"/>
      <c r="L316" s="3551"/>
      <c r="M316" s="3551"/>
      <c r="N316" s="3551"/>
      <c r="O316" s="3552"/>
    </row>
    <row r="317" spans="2:15" ht="27" customHeight="1">
      <c r="B317" s="1">
        <v>5</v>
      </c>
      <c r="C317" s="1">
        <v>5</v>
      </c>
      <c r="D317" s="908"/>
      <c r="E317" s="559"/>
      <c r="F317" s="953" t="str">
        <f>IF(F312=$S$15,$T$14,IF(ROUNDDOWN(F312,0)=$S$14,$U$14,$T$14))</f>
        <v>　レベル　5</v>
      </c>
      <c r="G317" s="3383" t="s">
        <v>3398</v>
      </c>
      <c r="H317" s="3549"/>
      <c r="I317" s="3549"/>
      <c r="J317" s="3549"/>
      <c r="K317" s="3549"/>
      <c r="L317" s="3549"/>
      <c r="M317" s="3549"/>
      <c r="N317" s="3549"/>
      <c r="O317" s="3550"/>
    </row>
    <row r="318" spans="2:15" ht="15.75">
      <c r="B318" s="960">
        <v>0</v>
      </c>
      <c r="C318" s="960">
        <v>0</v>
      </c>
      <c r="D318" s="908"/>
      <c r="E318" s="559"/>
      <c r="F318" s="1102"/>
      <c r="G318" s="1263"/>
      <c r="H318" s="1263"/>
      <c r="I318" s="1263"/>
      <c r="J318" s="1251"/>
      <c r="K318" s="1263"/>
      <c r="L318" s="1263"/>
      <c r="M318" s="1116"/>
      <c r="N318" s="1116"/>
      <c r="O318" s="1116"/>
    </row>
    <row r="319" spans="2:15" ht="15.75">
      <c r="D319" s="908"/>
      <c r="E319" s="559"/>
      <c r="F319" s="1084" t="s">
        <v>607</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1364</v>
      </c>
      <c r="J320" s="927">
        <f>重み!M98</f>
        <v>0.2</v>
      </c>
      <c r="K320" s="1066"/>
      <c r="L320" s="1066"/>
      <c r="M320" s="1066"/>
      <c r="N320" s="1066"/>
      <c r="O320" s="936"/>
    </row>
    <row r="321" spans="2:15" ht="27" customHeight="1" thickBot="1">
      <c r="D321" s="908"/>
      <c r="E321" s="1229"/>
      <c r="F321" s="2056">
        <f>IF(H327=T4,F327,IF(G336&lt;1,1,IF(COUNTIF(F330:F335,$S$3)=1,2,IF(G336=2,3,IF(G336=3,4,5)))))</f>
        <v>3</v>
      </c>
      <c r="G321" s="1132" t="s">
        <v>835</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397</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1812</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5" thickBot="1">
      <c r="B327" s="960">
        <v>0</v>
      </c>
      <c r="C327" s="960">
        <v>0</v>
      </c>
      <c r="D327" s="1010"/>
      <c r="E327" s="1256"/>
      <c r="F327" s="930">
        <v>0</v>
      </c>
      <c r="G327" s="1158" t="s">
        <v>2666</v>
      </c>
      <c r="H327" s="2777" t="s">
        <v>3339</v>
      </c>
      <c r="I327" s="1236"/>
      <c r="J327" s="1235"/>
      <c r="K327" s="1236"/>
      <c r="L327" s="1236"/>
      <c r="M327" s="1006"/>
      <c r="N327" s="1006"/>
      <c r="O327" s="1006"/>
    </row>
    <row r="328" spans="2:15" ht="15.75">
      <c r="D328" s="908"/>
      <c r="E328" s="559"/>
      <c r="F328" s="2833" t="s">
        <v>2678</v>
      </c>
      <c r="I328" s="1102"/>
      <c r="K328" s="1228"/>
      <c r="L328" s="1228"/>
      <c r="M328" s="1116"/>
      <c r="N328" s="1116"/>
      <c r="O328" s="1116"/>
    </row>
    <row r="329" spans="2:15" ht="16.5" thickBot="1">
      <c r="D329" s="908"/>
      <c r="E329" s="559"/>
      <c r="F329" s="1257" t="s">
        <v>1816</v>
      </c>
      <c r="G329" s="1239" t="s">
        <v>48</v>
      </c>
      <c r="H329" s="1258"/>
      <c r="I329" s="1239"/>
      <c r="J329" s="1258"/>
      <c r="K329" s="1239"/>
      <c r="L329" s="1258"/>
      <c r="M329" s="1116"/>
      <c r="N329" s="1116"/>
      <c r="O329" s="1116"/>
    </row>
    <row r="330" spans="2:15" ht="15.75" customHeight="1">
      <c r="D330" s="908"/>
      <c r="E330" s="559"/>
      <c r="F330" s="1246"/>
      <c r="G330" s="1262" t="s">
        <v>1557</v>
      </c>
      <c r="H330" s="1269"/>
      <c r="I330" s="1269"/>
      <c r="J330" s="1269"/>
      <c r="K330" s="1269"/>
      <c r="L330" s="1270"/>
      <c r="M330" s="1116"/>
      <c r="N330" s="1116"/>
      <c r="O330" s="1116"/>
    </row>
    <row r="331" spans="2:15" ht="15.75" customHeight="1">
      <c r="D331" s="908"/>
      <c r="E331" s="559"/>
      <c r="F331" s="1249"/>
      <c r="G331" s="1207" t="s">
        <v>1558</v>
      </c>
      <c r="H331" s="1208"/>
      <c r="I331" s="1208"/>
      <c r="J331" s="1208"/>
      <c r="K331" s="1208"/>
      <c r="L331" s="1271"/>
      <c r="M331" s="1116"/>
      <c r="N331" s="1116"/>
      <c r="O331" s="1116"/>
    </row>
    <row r="332" spans="2:15" ht="87" customHeight="1">
      <c r="D332" s="908"/>
      <c r="E332" s="559"/>
      <c r="F332" s="2095"/>
      <c r="G332" s="3497" t="s">
        <v>54</v>
      </c>
      <c r="H332" s="3466"/>
      <c r="I332" s="3466"/>
      <c r="J332" s="3466"/>
      <c r="K332" s="3466"/>
      <c r="L332" s="3547"/>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2671</v>
      </c>
      <c r="G334" s="2099" t="s">
        <v>57</v>
      </c>
      <c r="H334" s="2101"/>
      <c r="I334" s="2101"/>
      <c r="J334" s="2101"/>
      <c r="K334" s="2101"/>
      <c r="L334" s="2089"/>
      <c r="M334" s="1116"/>
      <c r="N334" s="1116"/>
      <c r="O334" s="1116"/>
    </row>
    <row r="335" spans="2:15" ht="16.5" thickBot="1">
      <c r="D335" s="908"/>
      <c r="E335" s="1237"/>
      <c r="F335" s="1255" t="s">
        <v>2671</v>
      </c>
      <c r="G335" s="3494" t="s">
        <v>58</v>
      </c>
      <c r="H335" s="3514"/>
      <c r="I335" s="3514"/>
      <c r="J335" s="3514"/>
      <c r="K335" s="3514"/>
      <c r="L335" s="3515"/>
      <c r="M335" s="1116"/>
      <c r="N335" s="1116"/>
      <c r="O335" s="1116"/>
    </row>
    <row r="336" spans="2:15" s="2687" customFormat="1" ht="15.75">
      <c r="D336" s="908"/>
      <c r="E336" s="1237"/>
      <c r="F336" s="2098" t="s">
        <v>39</v>
      </c>
      <c r="G336" s="2845">
        <f>COUNTIF(F330:F335,$S$3)</f>
        <v>2</v>
      </c>
      <c r="H336" s="1245"/>
      <c r="I336" s="1245"/>
      <c r="J336" s="1245"/>
      <c r="K336" s="1245"/>
      <c r="L336" s="1245"/>
      <c r="M336" s="1116"/>
      <c r="N336" s="1116"/>
      <c r="O336" s="1116"/>
    </row>
    <row r="337" spans="2:15" ht="15.75">
      <c r="D337" s="908"/>
      <c r="E337" s="559"/>
      <c r="F337" s="1263"/>
      <c r="G337" s="1263"/>
      <c r="H337" s="1272"/>
      <c r="I337" s="1272"/>
      <c r="J337" s="1272"/>
      <c r="K337" s="1272"/>
      <c r="L337" s="1228"/>
      <c r="M337" s="1228"/>
      <c r="N337" s="1116"/>
      <c r="O337" s="1116"/>
    </row>
    <row r="338" spans="2:15" ht="15.75">
      <c r="D338" s="1326">
        <v>3</v>
      </c>
      <c r="E338" s="1143" t="s">
        <v>1245</v>
      </c>
      <c r="F338" s="1152"/>
      <c r="G338" s="1153"/>
      <c r="H338" s="1153"/>
      <c r="I338" s="1153"/>
      <c r="J338" s="1153"/>
      <c r="K338" s="1152"/>
      <c r="L338" s="1152"/>
      <c r="M338" s="1152"/>
      <c r="N338" s="1152"/>
      <c r="O338" s="1152"/>
    </row>
    <row r="339" spans="2:15" ht="15.75">
      <c r="D339" s="1326">
        <v>3.1</v>
      </c>
      <c r="E339" s="1143" t="s">
        <v>1817</v>
      </c>
      <c r="F339" s="1152"/>
      <c r="G339" s="1043"/>
      <c r="H339" s="1153"/>
      <c r="I339" s="1153"/>
      <c r="J339" s="1153"/>
      <c r="K339" s="1152"/>
      <c r="L339" s="1224"/>
      <c r="M339" s="1152"/>
      <c r="N339" s="1152"/>
      <c r="O339" s="1152"/>
    </row>
    <row r="340" spans="2:15" ht="15.75">
      <c r="D340" s="908"/>
      <c r="E340" s="913"/>
      <c r="F340" s="1084" t="s">
        <v>1559</v>
      </c>
      <c r="G340" s="996"/>
      <c r="H340" s="1045"/>
      <c r="I340" s="1025"/>
      <c r="J340" s="999" t="str">
        <f>IF(OR(F342=0,AND(J341=0,O341=0)),$R$3,"")</f>
        <v/>
      </c>
      <c r="K340" s="1084"/>
      <c r="L340" s="996"/>
      <c r="M340" s="1045"/>
      <c r="N340" s="1025"/>
      <c r="O340" s="999"/>
    </row>
    <row r="341" spans="2:15" ht="16.5" thickBot="1">
      <c r="D341" s="908"/>
      <c r="E341" s="913"/>
      <c r="F341" s="923" t="s">
        <v>327</v>
      </c>
      <c r="G341" s="924"/>
      <c r="H341" s="925"/>
      <c r="I341" s="926" t="s">
        <v>1364</v>
      </c>
      <c r="J341" s="929">
        <f>重み!M102</f>
        <v>0.6</v>
      </c>
      <c r="K341" s="923" t="s">
        <v>1968</v>
      </c>
      <c r="L341" s="924"/>
      <c r="M341" s="925"/>
      <c r="N341" s="926" t="s">
        <v>1364</v>
      </c>
      <c r="O341" s="929">
        <f>重み!N102</f>
        <v>0</v>
      </c>
    </row>
    <row r="342" spans="2:15" ht="27" customHeight="1" thickBot="1">
      <c r="D342" s="908"/>
      <c r="E342" s="913"/>
      <c r="F342" s="930">
        <v>3</v>
      </c>
      <c r="G342" s="1046" t="s">
        <v>1818</v>
      </c>
      <c r="H342" s="936"/>
      <c r="I342" s="3388" t="s">
        <v>1819</v>
      </c>
      <c r="J342" s="3509"/>
      <c r="K342" s="930">
        <v>3</v>
      </c>
      <c r="L342" s="1046" t="s">
        <v>1560</v>
      </c>
      <c r="M342" s="936"/>
      <c r="N342" s="1046" t="s">
        <v>1561</v>
      </c>
      <c r="O342" s="936"/>
    </row>
    <row r="343" spans="2:15" ht="21" customHeight="1">
      <c r="B343" s="1">
        <v>1</v>
      </c>
      <c r="C343" s="1">
        <v>1</v>
      </c>
      <c r="D343" s="908"/>
      <c r="E343" s="913"/>
      <c r="F343" s="937" t="str">
        <f>IF(F342=$S$15,$T$10,IF(ROUNDDOWN(F342,0)=$S$10,$U$10,$T$10))</f>
        <v>　レベル　1</v>
      </c>
      <c r="G343" s="939" t="s">
        <v>1562</v>
      </c>
      <c r="H343" s="1227"/>
      <c r="I343" s="939" t="s">
        <v>1563</v>
      </c>
      <c r="J343" s="1273"/>
      <c r="K343" s="937" t="str">
        <f>IF(K342=$S$15,$T$10,IF(ROUNDDOWN(K342,0)=$S$10,$U$10,$T$10))</f>
        <v>　レベル　1</v>
      </c>
      <c r="L343" s="3381" t="s">
        <v>1562</v>
      </c>
      <c r="M343" s="3399"/>
      <c r="N343" s="3381" t="s">
        <v>1564</v>
      </c>
      <c r="O343" s="3399"/>
    </row>
    <row r="344" spans="2:15" ht="21" customHeight="1">
      <c r="B344" s="1">
        <v>2</v>
      </c>
      <c r="C344" s="1">
        <v>2</v>
      </c>
      <c r="D344" s="908"/>
      <c r="E344" s="913"/>
      <c r="F344" s="942" t="str">
        <f>IF(F342=$S$15,$T$11,IF(ROUNDDOWN(F342,0)=$S$11,$U$11,$T$11))</f>
        <v>　レベル　2</v>
      </c>
      <c r="G344" s="946" t="s">
        <v>1565</v>
      </c>
      <c r="H344" s="1086"/>
      <c r="I344" s="946" t="s">
        <v>1566</v>
      </c>
      <c r="J344" s="1274"/>
      <c r="K344" s="942" t="str">
        <f>IF(K342=$S$15,$T$11,IF(ROUNDDOWN(K342,0)=$S$11,$U$11,$T$11))</f>
        <v>　レベル　2</v>
      </c>
      <c r="L344" s="3385" t="s">
        <v>1820</v>
      </c>
      <c r="M344" s="3386"/>
      <c r="N344" s="3385" t="s">
        <v>1821</v>
      </c>
      <c r="O344" s="3386"/>
    </row>
    <row r="345" spans="2:15" ht="21" customHeight="1">
      <c r="B345" s="1">
        <v>3</v>
      </c>
      <c r="C345" s="1">
        <v>3</v>
      </c>
      <c r="D345" s="908"/>
      <c r="E345" s="913"/>
      <c r="F345" s="942" t="str">
        <f>IF(F342=$S$15,$T$12,IF(ROUNDDOWN(F342,0)=$S$12,$U$12,$T$12))</f>
        <v>■レベル　3</v>
      </c>
      <c r="G345" s="946" t="s">
        <v>1567</v>
      </c>
      <c r="H345" s="1086"/>
      <c r="I345" s="946" t="s">
        <v>1565</v>
      </c>
      <c r="J345" s="1274"/>
      <c r="K345" s="942" t="str">
        <f>IF(K342=$S$15,$T$12,IF(ROUNDDOWN(K342,0)=$S$12,$U$12,$T$12))</f>
        <v>■レベル　3</v>
      </c>
      <c r="L345" s="3385" t="s">
        <v>1567</v>
      </c>
      <c r="M345" s="3386"/>
      <c r="N345" s="3385" t="s">
        <v>1568</v>
      </c>
      <c r="O345" s="3386"/>
    </row>
    <row r="346" spans="2:15" ht="21" customHeight="1">
      <c r="B346" s="1">
        <v>4</v>
      </c>
      <c r="C346" s="1">
        <v>4</v>
      </c>
      <c r="D346" s="908"/>
      <c r="E346" s="913"/>
      <c r="F346" s="942" t="str">
        <f>IF(F342=$S$15,$T$13,IF(ROUNDDOWN(F342,0)=$S$13,$U$13,$T$13))</f>
        <v>　レベル　4</v>
      </c>
      <c r="G346" s="946" t="s">
        <v>1569</v>
      </c>
      <c r="H346" s="1086"/>
      <c r="I346" s="946" t="s">
        <v>1567</v>
      </c>
      <c r="J346" s="1274"/>
      <c r="K346" s="942" t="str">
        <f>IF(K342=$S$15,$T$13,IF(ROUNDDOWN(K342,0)=$S$13,$U$13,$T$13))</f>
        <v>　レベル　4</v>
      </c>
      <c r="L346" s="3385" t="s">
        <v>1822</v>
      </c>
      <c r="M346" s="3386"/>
      <c r="N346" s="3385" t="s">
        <v>1823</v>
      </c>
      <c r="O346" s="3386"/>
    </row>
    <row r="347" spans="2:15" ht="21" customHeight="1">
      <c r="B347" s="1">
        <v>5</v>
      </c>
      <c r="C347" s="1">
        <v>5</v>
      </c>
      <c r="D347" s="908"/>
      <c r="E347" s="913"/>
      <c r="F347" s="953" t="str">
        <f>IF(F342=$S$15,$T$14,IF(ROUNDDOWN(F342,0)=$S$14,$U$14,$T$14))</f>
        <v>　レベル　5</v>
      </c>
      <c r="G347" s="957" t="s">
        <v>1570</v>
      </c>
      <c r="H347" s="1079"/>
      <c r="I347" s="957" t="s">
        <v>1571</v>
      </c>
      <c r="J347" s="1275"/>
      <c r="K347" s="953" t="str">
        <f>IF(K342=$S$15,$T$14,IF(ROUNDDOWN(K342,0)=$S$14,$U$14,$T$14))</f>
        <v>　レベル　5</v>
      </c>
      <c r="L347" s="3383" t="s">
        <v>1570</v>
      </c>
      <c r="M347" s="3384"/>
      <c r="N347" s="3383" t="s">
        <v>1572</v>
      </c>
      <c r="O347" s="3384"/>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1573</v>
      </c>
      <c r="G349" s="996"/>
      <c r="H349" s="1045"/>
      <c r="I349" s="1025"/>
      <c r="J349" s="999" t="str">
        <f>IF(OR(F351=0,AND(J350=0,O350=0)),$R$3,"")</f>
        <v/>
      </c>
      <c r="K349" s="1084"/>
      <c r="L349" s="996"/>
      <c r="M349" s="1045"/>
      <c r="N349" s="1025"/>
      <c r="O349" s="999"/>
    </row>
    <row r="350" spans="2:15" ht="16.5" thickBot="1">
      <c r="D350" s="908"/>
      <c r="E350" s="913"/>
      <c r="F350" s="923" t="s">
        <v>1574</v>
      </c>
      <c r="G350" s="924"/>
      <c r="H350" s="925"/>
      <c r="I350" s="926" t="s">
        <v>1364</v>
      </c>
      <c r="J350" s="929">
        <f>重み!M103</f>
        <v>0.4</v>
      </c>
      <c r="K350" s="923" t="s">
        <v>1968</v>
      </c>
      <c r="L350" s="924"/>
      <c r="M350" s="925"/>
      <c r="N350" s="926" t="s">
        <v>1364</v>
      </c>
      <c r="O350" s="929">
        <f>重み!N103</f>
        <v>0</v>
      </c>
    </row>
    <row r="351" spans="2:15" ht="27" customHeight="1" thickBot="1">
      <c r="D351" s="908"/>
      <c r="E351" s="913"/>
      <c r="F351" s="930">
        <v>3</v>
      </c>
      <c r="G351" s="1046" t="s">
        <v>1824</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1825</v>
      </c>
      <c r="H352" s="1227"/>
      <c r="I352" s="1227"/>
      <c r="J352" s="1273"/>
      <c r="K352" s="937" t="str">
        <f>IF(K351=$S$15,$T$10,IF(ROUNDDOWN(K351,0)=$S$10,$U$10,$T$10))</f>
        <v>　レベル　1</v>
      </c>
      <c r="L352" s="3381" t="s">
        <v>279</v>
      </c>
      <c r="M352" s="3401"/>
      <c r="N352" s="3401"/>
      <c r="O352" s="3387"/>
    </row>
    <row r="353" spans="2:15" ht="21" customHeight="1">
      <c r="B353" s="1">
        <v>2</v>
      </c>
      <c r="C353" s="1">
        <v>2</v>
      </c>
      <c r="D353" s="908"/>
      <c r="E353" s="913"/>
      <c r="F353" s="942" t="str">
        <f>IF(F351=$S$15,$T$11,IF(ROUNDDOWN(F351,0)=$S$11,$U$11,$T$11))</f>
        <v>　レベル　2</v>
      </c>
      <c r="G353" s="946" t="s">
        <v>1826</v>
      </c>
      <c r="H353" s="1086"/>
      <c r="I353" s="1086"/>
      <c r="J353" s="1274"/>
      <c r="K353" s="942" t="str">
        <f>IF(K351=$S$15,$T$11,IF(ROUNDDOWN(K351,0)=$S$11,$U$11,$T$11))</f>
        <v>　レベル　2</v>
      </c>
      <c r="L353" s="3419" t="s">
        <v>280</v>
      </c>
      <c r="M353" s="3420"/>
      <c r="N353" s="3420"/>
      <c r="O353" s="3421"/>
    </row>
    <row r="354" spans="2:15" ht="21" customHeight="1">
      <c r="B354" s="1">
        <v>3</v>
      </c>
      <c r="C354" s="1">
        <v>3</v>
      </c>
      <c r="D354" s="908"/>
      <c r="E354" s="1140"/>
      <c r="F354" s="942" t="str">
        <f>IF(F351=$S$15,$T$12,IF(ROUNDDOWN(F351,0)=$S$12,$U$12,$T$12))</f>
        <v>■レベル　3</v>
      </c>
      <c r="G354" s="946" t="s">
        <v>1827</v>
      </c>
      <c r="H354" s="1086"/>
      <c r="I354" s="1086"/>
      <c r="J354" s="1274"/>
      <c r="K354" s="942" t="str">
        <f>IF(K351=$S$15,$T$12,IF(ROUNDDOWN(K351,0)=$S$12,$U$12,$T$12))</f>
        <v>■レベル　3</v>
      </c>
      <c r="L354" s="3419" t="s">
        <v>281</v>
      </c>
      <c r="M354" s="3420"/>
      <c r="N354" s="3420"/>
      <c r="O354" s="3421"/>
    </row>
    <row r="355" spans="2:15" ht="21" customHeight="1">
      <c r="B355" s="1">
        <v>4</v>
      </c>
      <c r="C355" s="1">
        <v>4</v>
      </c>
      <c r="D355" s="908"/>
      <c r="E355" s="913"/>
      <c r="F355" s="942" t="str">
        <f>IF(F351=$S$15,$T$13,IF(ROUNDDOWN(F351,0)=$S$13,$U$13,$T$13))</f>
        <v>　レベル　4</v>
      </c>
      <c r="G355" s="946" t="s">
        <v>1828</v>
      </c>
      <c r="H355" s="1086"/>
      <c r="I355" s="1086"/>
      <c r="J355" s="1274"/>
      <c r="K355" s="942" t="str">
        <f>IF(K351=$S$15,$T$13,IF(ROUNDDOWN(K351,0)=$S$13,$U$13,$T$13))</f>
        <v>　レベル　4</v>
      </c>
      <c r="L355" s="3419" t="s">
        <v>282</v>
      </c>
      <c r="M355" s="3420"/>
      <c r="N355" s="3420"/>
      <c r="O355" s="3421"/>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410" t="s">
        <v>283</v>
      </c>
      <c r="M356" s="3430"/>
      <c r="N356" s="3430"/>
      <c r="O356" s="3431"/>
    </row>
    <row r="357" spans="2:15" ht="15.75" customHeight="1">
      <c r="B357" s="960">
        <v>0</v>
      </c>
      <c r="C357" s="960">
        <v>0</v>
      </c>
      <c r="D357" s="908"/>
      <c r="E357" s="913"/>
      <c r="F357" s="1050"/>
      <c r="G357" s="1276" t="s">
        <v>1829</v>
      </c>
      <c r="H357" s="1277" t="s">
        <v>284</v>
      </c>
      <c r="I357" s="1277"/>
      <c r="J357" s="1278"/>
      <c r="K357" s="1278"/>
      <c r="L357" s="1050"/>
      <c r="M357" s="1050"/>
      <c r="N357" s="1050"/>
      <c r="O357" s="1050"/>
    </row>
    <row r="358" spans="2:15" ht="15.75">
      <c r="D358" s="908"/>
      <c r="E358" s="913"/>
      <c r="F358" s="1050"/>
      <c r="G358" s="1279"/>
      <c r="H358" s="1280" t="s">
        <v>285</v>
      </c>
      <c r="I358" s="1280"/>
      <c r="J358" s="1279"/>
      <c r="K358" s="1279"/>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6">
        <v>3.2</v>
      </c>
      <c r="E360" s="1143" t="s">
        <v>1830</v>
      </c>
      <c r="F360" s="1084"/>
      <c r="G360" s="996"/>
      <c r="H360" s="1045"/>
      <c r="I360" s="1025"/>
      <c r="J360" s="999" t="str">
        <f>IF(OR(F362=0,AND(J361=0,O361=0)),$R$3,"")</f>
        <v/>
      </c>
      <c r="K360" s="1025"/>
      <c r="L360" s="1025"/>
      <c r="M360" s="995"/>
      <c r="N360" s="1025"/>
      <c r="O360" s="999"/>
    </row>
    <row r="361" spans="2:15" ht="16.5" thickBot="1">
      <c r="D361" s="908"/>
      <c r="E361" s="913"/>
      <c r="F361" s="1065" t="s">
        <v>327</v>
      </c>
      <c r="G361" s="924"/>
      <c r="H361" s="925"/>
      <c r="I361" s="926" t="s">
        <v>1364</v>
      </c>
      <c r="J361" s="927">
        <f>重み!M104</f>
        <v>0.3</v>
      </c>
      <c r="K361" s="1066"/>
      <c r="L361" s="1068"/>
      <c r="M361" s="1069" t="s">
        <v>1968</v>
      </c>
      <c r="N361" s="926" t="s">
        <v>1364</v>
      </c>
      <c r="O361" s="928">
        <f>重み!N104</f>
        <v>0</v>
      </c>
    </row>
    <row r="362" spans="2:15" ht="27" customHeight="1" thickBot="1">
      <c r="D362" s="908"/>
      <c r="E362" s="913"/>
      <c r="F362" s="930">
        <v>3</v>
      </c>
      <c r="G362" s="3388" t="s">
        <v>1831</v>
      </c>
      <c r="H362" s="3509"/>
      <c r="I362" s="1046" t="s">
        <v>1832</v>
      </c>
      <c r="J362" s="936"/>
      <c r="K362" s="1070" t="s">
        <v>2017</v>
      </c>
      <c r="L362" s="1071"/>
      <c r="M362" s="930">
        <v>3</v>
      </c>
      <c r="N362" s="1046" t="s">
        <v>1987</v>
      </c>
      <c r="O362" s="936"/>
    </row>
    <row r="363" spans="2:15" ht="21" customHeight="1">
      <c r="B363" s="1" t="s">
        <v>2177</v>
      </c>
      <c r="C363" s="1" t="s">
        <v>2177</v>
      </c>
      <c r="D363" s="908"/>
      <c r="E363" s="913"/>
      <c r="F363" s="937" t="str">
        <f>IF(F362=$S$15,$T$10,IF(ROUNDDOWN(F362,0)=$S$10,$U$10,$T$10))</f>
        <v>　レベル　1</v>
      </c>
      <c r="G363" s="3381" t="s">
        <v>1833</v>
      </c>
      <c r="H363" s="3399"/>
      <c r="I363" s="3381" t="s">
        <v>1833</v>
      </c>
      <c r="J363" s="3399"/>
      <c r="K363" s="3381" t="s">
        <v>1833</v>
      </c>
      <c r="L363" s="3399"/>
      <c r="M363" s="937" t="str">
        <f>IF(M362=$S$15,$T$10,IF(ROUNDDOWN(M362,0)=$S$10,$U$10,$T$10))</f>
        <v>　レベル　1</v>
      </c>
      <c r="N363" s="3381" t="s">
        <v>1833</v>
      </c>
      <c r="O363" s="3399"/>
    </row>
    <row r="364" spans="2:15" ht="21" customHeight="1">
      <c r="B364" s="1">
        <v>2</v>
      </c>
      <c r="C364" s="1">
        <v>2</v>
      </c>
      <c r="D364" s="908"/>
      <c r="E364" s="913"/>
      <c r="F364" s="942" t="str">
        <f>IF(F362=$S$15,$T$11,IF(ROUNDDOWN(F362,0)=$S$11,$U$11,$T$11))</f>
        <v>　レベル　2</v>
      </c>
      <c r="G364" s="3385" t="s">
        <v>1834</v>
      </c>
      <c r="H364" s="3386"/>
      <c r="I364" s="3385" t="s">
        <v>1835</v>
      </c>
      <c r="J364" s="3386"/>
      <c r="K364" s="3385" t="s">
        <v>1836</v>
      </c>
      <c r="L364" s="3386"/>
      <c r="M364" s="942" t="str">
        <f>IF(M362=$S$15,$T$11,IF(ROUNDDOWN(M362,0)=$S$11,$U$11,$T$11))</f>
        <v>　レベル　2</v>
      </c>
      <c r="N364" s="3385" t="s">
        <v>1837</v>
      </c>
      <c r="O364" s="3386"/>
    </row>
    <row r="365" spans="2:15" ht="36" customHeight="1">
      <c r="B365" s="1">
        <v>3</v>
      </c>
      <c r="C365" s="1">
        <v>3</v>
      </c>
      <c r="D365" s="908"/>
      <c r="E365" s="913"/>
      <c r="F365" s="942" t="str">
        <f>IF(F362=$S$15,$T$12,IF(ROUNDDOWN(F362,0)=$S$12,$U$12,$T$12))</f>
        <v>■レベル　3</v>
      </c>
      <c r="G365" s="3385" t="s">
        <v>1838</v>
      </c>
      <c r="H365" s="3386"/>
      <c r="I365" s="3385" t="s">
        <v>1839</v>
      </c>
      <c r="J365" s="3386"/>
      <c r="K365" s="3385" t="s">
        <v>2813</v>
      </c>
      <c r="L365" s="3386"/>
      <c r="M365" s="942" t="str">
        <f>IF(M362=$S$15,$T$12,IF(ROUNDDOWN(M362,0)=$S$12,$U$12,$T$12))</f>
        <v>■レベル　3</v>
      </c>
      <c r="N365" s="3385" t="s">
        <v>2814</v>
      </c>
      <c r="O365" s="3386"/>
    </row>
    <row r="366" spans="2:15" ht="36" customHeight="1">
      <c r="B366" s="1">
        <v>4</v>
      </c>
      <c r="C366" s="1">
        <v>4</v>
      </c>
      <c r="D366" s="908"/>
      <c r="E366" s="913"/>
      <c r="F366" s="942" t="str">
        <f>IF(F362=$S$15,$T$13,IF(ROUNDDOWN(F362,0)=$S$13,$U$13,$T$13))</f>
        <v>　レベル　4</v>
      </c>
      <c r="G366" s="3385" t="s">
        <v>2815</v>
      </c>
      <c r="H366" s="3386"/>
      <c r="I366" s="3385" t="s">
        <v>2816</v>
      </c>
      <c r="J366" s="3386"/>
      <c r="K366" s="3385" t="s">
        <v>1838</v>
      </c>
      <c r="L366" s="3386"/>
      <c r="M366" s="942" t="str">
        <f>IF(M362=$S$15,$T$13,IF(ROUNDDOWN(M362,0)=$S$13,$U$13,$T$13))</f>
        <v>　レベル　4</v>
      </c>
      <c r="N366" s="3385" t="s">
        <v>2289</v>
      </c>
      <c r="O366" s="3386"/>
    </row>
    <row r="367" spans="2:15" ht="21" customHeight="1">
      <c r="B367" s="1">
        <v>5</v>
      </c>
      <c r="C367" s="1">
        <v>5</v>
      </c>
      <c r="D367" s="908"/>
      <c r="E367" s="913"/>
      <c r="F367" s="953" t="str">
        <f>IF(F362=$S$15,$T$14,IF(ROUNDDOWN(F362,0)=$S$14,$U$14,$T$14))</f>
        <v>　レベル　5</v>
      </c>
      <c r="G367" s="3383" t="s">
        <v>2116</v>
      </c>
      <c r="H367" s="3384"/>
      <c r="I367" s="3383" t="s">
        <v>2117</v>
      </c>
      <c r="J367" s="3384"/>
      <c r="K367" s="3383" t="s">
        <v>2118</v>
      </c>
      <c r="L367" s="3384"/>
      <c r="M367" s="953" t="str">
        <f>IF(M362=$S$15,$T$14,IF(ROUNDDOWN(M362,0)=$S$14,$U$14,$T$14))</f>
        <v>　レベル　5</v>
      </c>
      <c r="N367" s="3383" t="s">
        <v>2119</v>
      </c>
      <c r="O367" s="3384"/>
    </row>
    <row r="368" spans="2:15" ht="15.75">
      <c r="B368" s="960">
        <v>0</v>
      </c>
      <c r="C368" s="960">
        <v>0</v>
      </c>
      <c r="D368" s="1281"/>
      <c r="E368" s="559"/>
      <c r="F368" s="1116"/>
      <c r="G368" s="995"/>
      <c r="H368" s="995"/>
      <c r="I368" s="995"/>
      <c r="J368" s="995"/>
      <c r="K368" s="1116"/>
      <c r="L368" s="1116"/>
      <c r="M368" s="1116"/>
      <c r="N368" s="1116"/>
      <c r="O368" s="1228"/>
    </row>
    <row r="369" spans="2:15" ht="15.75">
      <c r="D369" s="1326">
        <v>3.3</v>
      </c>
      <c r="E369" s="1143" t="s">
        <v>2120</v>
      </c>
      <c r="F369" s="1152"/>
      <c r="G369" s="1043"/>
      <c r="H369" s="1153"/>
      <c r="I369" s="1153"/>
      <c r="J369" s="1153"/>
      <c r="K369" s="1152"/>
      <c r="L369" s="1224"/>
      <c r="M369" s="1152"/>
      <c r="N369" s="1152"/>
      <c r="O369" s="1152"/>
    </row>
    <row r="370" spans="2:15" ht="15.75">
      <c r="D370" s="1326"/>
      <c r="E370" s="1143"/>
      <c r="F370" s="1084" t="s">
        <v>286</v>
      </c>
      <c r="G370" s="996"/>
      <c r="H370" s="1045"/>
      <c r="I370" s="1025"/>
      <c r="J370" s="999" t="str">
        <f>IF(OR(F372=0,J371=0),$R$3,"")</f>
        <v/>
      </c>
      <c r="K370" s="1084" t="s">
        <v>287</v>
      </c>
      <c r="L370" s="996"/>
      <c r="M370" s="1045"/>
      <c r="N370" s="1025"/>
      <c r="O370" s="999" t="str">
        <f>IF(OR(K372=0,O371=0),$R$3,"")</f>
        <v/>
      </c>
    </row>
    <row r="371" spans="2:15" ht="16.5" thickBot="1">
      <c r="D371" s="908"/>
      <c r="E371" s="913"/>
      <c r="F371" s="923"/>
      <c r="G371" s="924"/>
      <c r="H371" s="925"/>
      <c r="I371" s="926" t="s">
        <v>1364</v>
      </c>
      <c r="J371" s="929">
        <f>重み!M106</f>
        <v>0.2</v>
      </c>
      <c r="K371" s="923"/>
      <c r="L371" s="924"/>
      <c r="M371" s="925"/>
      <c r="N371" s="926" t="s">
        <v>1364</v>
      </c>
      <c r="O371" s="929">
        <f>重み!M107</f>
        <v>0.2</v>
      </c>
    </row>
    <row r="372" spans="2:15" ht="27" customHeight="1" thickBot="1">
      <c r="D372" s="908"/>
      <c r="E372" s="913"/>
      <c r="F372" s="930">
        <v>3</v>
      </c>
      <c r="G372" s="1046" t="s">
        <v>1505</v>
      </c>
      <c r="H372" s="936"/>
      <c r="I372" s="935"/>
      <c r="J372" s="936"/>
      <c r="K372" s="930">
        <v>3</v>
      </c>
      <c r="L372" s="1046" t="s">
        <v>1505</v>
      </c>
      <c r="M372" s="936"/>
      <c r="N372" s="1046"/>
      <c r="O372" s="1051"/>
    </row>
    <row r="373" spans="2:15" ht="21" customHeight="1">
      <c r="B373" s="1">
        <v>1</v>
      </c>
      <c r="C373" s="1">
        <v>1</v>
      </c>
      <c r="D373" s="908"/>
      <c r="E373" s="913"/>
      <c r="F373" s="937" t="str">
        <f>IF(F372=$S$15,$T$10,IF(ROUNDDOWN(F372,0)=$S$10,$U$10,$T$10))</f>
        <v>　レベル　1</v>
      </c>
      <c r="G373" s="3381" t="s">
        <v>2121</v>
      </c>
      <c r="H373" s="3518"/>
      <c r="I373" s="3518"/>
      <c r="J373" s="3519"/>
      <c r="K373" s="937" t="str">
        <f>IF(K372=$S$15,$T$10,IF(ROUNDDOWN(K372,0)=$S$10,$U$10,$T$10))</f>
        <v>　レベル　1</v>
      </c>
      <c r="L373" s="3381" t="s">
        <v>2122</v>
      </c>
      <c r="M373" s="3518"/>
      <c r="N373" s="3518"/>
      <c r="O373" s="3519"/>
    </row>
    <row r="374" spans="2:15" ht="38.25" customHeight="1">
      <c r="B374" s="1">
        <v>2</v>
      </c>
      <c r="C374" s="1">
        <v>2</v>
      </c>
      <c r="D374" s="908"/>
      <c r="E374" s="913"/>
      <c r="F374" s="942" t="str">
        <f>IF(F372=$S$15,$T$11,IF(ROUNDDOWN(F372,0)=$S$11,$U$11,$T$11))</f>
        <v>　レベル　2</v>
      </c>
      <c r="G374" s="3419" t="s">
        <v>1528</v>
      </c>
      <c r="H374" s="3420"/>
      <c r="I374" s="3420"/>
      <c r="J374" s="3421"/>
      <c r="K374" s="942" t="str">
        <f>IF(K372=$S$15,$T$11,IF(ROUNDDOWN(K372,0)=$S$11,$U$11,$T$11))</f>
        <v>　レベル　2</v>
      </c>
      <c r="L374" s="3419" t="s">
        <v>1529</v>
      </c>
      <c r="M374" s="3420"/>
      <c r="N374" s="3420"/>
      <c r="O374" s="3421"/>
    </row>
    <row r="375" spans="2:15" ht="43.5" customHeight="1">
      <c r="B375" s="1">
        <v>3</v>
      </c>
      <c r="C375" s="1">
        <v>3</v>
      </c>
      <c r="D375" s="908"/>
      <c r="E375" s="913"/>
      <c r="F375" s="942" t="str">
        <f>IF(F372=$S$15,$T$12,IF(ROUNDDOWN(F372,0)=$S$12,$U$12,$T$12))</f>
        <v>■レベル　3</v>
      </c>
      <c r="G375" s="3419" t="s">
        <v>288</v>
      </c>
      <c r="H375" s="3420"/>
      <c r="I375" s="3420"/>
      <c r="J375" s="3421"/>
      <c r="K375" s="942" t="str">
        <f>IF(K372=$S$15,$T$12,IF(ROUNDDOWN(K372,0)=$S$12,$U$12,$T$12))</f>
        <v>■レベル　3</v>
      </c>
      <c r="L375" s="3419" t="s">
        <v>1530</v>
      </c>
      <c r="M375" s="3420"/>
      <c r="N375" s="3420"/>
      <c r="O375" s="3421"/>
    </row>
    <row r="376" spans="2:15" ht="38.25" customHeight="1">
      <c r="B376" s="1">
        <v>4</v>
      </c>
      <c r="C376" s="1">
        <v>4</v>
      </c>
      <c r="D376" s="908"/>
      <c r="E376" s="913"/>
      <c r="F376" s="942" t="str">
        <f>IF(F372=$S$15,$T$13,IF(ROUNDDOWN(F372,0)=$S$13,$U$13,$T$13))</f>
        <v>　レベル　4</v>
      </c>
      <c r="G376" s="3419" t="s">
        <v>1531</v>
      </c>
      <c r="H376" s="3420"/>
      <c r="I376" s="3420"/>
      <c r="J376" s="3421"/>
      <c r="K376" s="942" t="str">
        <f>IF(K372=$S$15,$T$13,IF(ROUNDDOWN(K372,0)=$S$13,$U$13,$T$13))</f>
        <v>　レベル　4</v>
      </c>
      <c r="L376" s="3419" t="s">
        <v>1532</v>
      </c>
      <c r="M376" s="3420"/>
      <c r="N376" s="3420"/>
      <c r="O376" s="3421"/>
    </row>
    <row r="377" spans="2:15" ht="34.5" customHeight="1">
      <c r="B377" s="1">
        <v>5</v>
      </c>
      <c r="C377" s="1">
        <v>5</v>
      </c>
      <c r="D377" s="908"/>
      <c r="E377" s="913"/>
      <c r="F377" s="953" t="str">
        <f>IF(F372=$S$15,$T$14,IF(ROUNDDOWN(F372,0)=$S$14,$U$14,$T$14))</f>
        <v>　レベル　5</v>
      </c>
      <c r="G377" s="3410" t="s">
        <v>1346</v>
      </c>
      <c r="H377" s="3430"/>
      <c r="I377" s="3430"/>
      <c r="J377" s="3431"/>
      <c r="K377" s="953" t="str">
        <f>IF(K372=$S$15,$T$14,IF(ROUNDDOWN(K372,0)=$S$14,$U$14,$T$14))</f>
        <v>　レベル　5</v>
      </c>
      <c r="L377" s="3410" t="s">
        <v>1347</v>
      </c>
      <c r="M377" s="3430"/>
      <c r="N377" s="3430"/>
      <c r="O377" s="3431"/>
    </row>
    <row r="378" spans="2:15" ht="15.75">
      <c r="B378" s="960">
        <v>0</v>
      </c>
      <c r="C378" s="960">
        <v>0</v>
      </c>
      <c r="D378" s="908"/>
      <c r="E378" s="1059"/>
      <c r="F378" s="1083"/>
      <c r="G378" s="1083"/>
      <c r="H378" s="1083"/>
      <c r="I378" s="1083"/>
      <c r="J378" s="1081"/>
      <c r="K378" s="1081"/>
      <c r="L378" s="1083"/>
      <c r="M378" s="1083"/>
      <c r="N378" s="1081"/>
      <c r="O378" s="1282"/>
    </row>
    <row r="379" spans="2:15" ht="15.75">
      <c r="D379" s="908"/>
      <c r="E379" s="1059"/>
      <c r="F379" s="1084" t="s">
        <v>1533</v>
      </c>
      <c r="G379" s="996"/>
      <c r="H379" s="1045"/>
      <c r="I379" s="1025"/>
      <c r="J379" s="999" t="str">
        <f>IF(OR(F381=0,J380=0),$R$3,"")</f>
        <v/>
      </c>
      <c r="K379" s="1084" t="s">
        <v>127</v>
      </c>
      <c r="L379" s="996"/>
      <c r="M379" s="1045"/>
      <c r="N379" s="1025"/>
      <c r="O379" s="999" t="str">
        <f>IF(OR(K381=0,O380=0),$R$3,"")</f>
        <v/>
      </c>
    </row>
    <row r="380" spans="2:15" ht="16.5" thickBot="1">
      <c r="D380" s="908"/>
      <c r="E380" s="1059"/>
      <c r="F380" s="923"/>
      <c r="G380" s="924"/>
      <c r="H380" s="925"/>
      <c r="I380" s="926" t="s">
        <v>1364</v>
      </c>
      <c r="J380" s="929">
        <f>重み!M108</f>
        <v>0.1</v>
      </c>
      <c r="K380" s="923"/>
      <c r="L380" s="924"/>
      <c r="M380" s="925"/>
      <c r="N380" s="926" t="s">
        <v>1364</v>
      </c>
      <c r="O380" s="929">
        <f>重み!M109</f>
        <v>0.1</v>
      </c>
    </row>
    <row r="381" spans="2:15" ht="27" customHeight="1" thickBot="1">
      <c r="D381" s="908"/>
      <c r="E381" s="1059"/>
      <c r="F381" s="930">
        <v>3</v>
      </c>
      <c r="G381" s="1046" t="s">
        <v>1505</v>
      </c>
      <c r="H381" s="936"/>
      <c r="I381" s="935"/>
      <c r="J381" s="936"/>
      <c r="K381" s="930">
        <v>3</v>
      </c>
      <c r="L381" s="1046" t="s">
        <v>1505</v>
      </c>
      <c r="M381" s="936"/>
      <c r="N381" s="1046"/>
      <c r="O381" s="1051"/>
    </row>
    <row r="382" spans="2:15" ht="21" customHeight="1">
      <c r="B382" s="1">
        <v>1</v>
      </c>
      <c r="C382" s="1">
        <v>1</v>
      </c>
      <c r="D382" s="908"/>
      <c r="E382" s="1059"/>
      <c r="F382" s="937" t="str">
        <f>IF(F381=$S$15,$T$10,IF(ROUNDDOWN(F381,0)=$S$10,$U$10,$T$10))</f>
        <v>　レベル　1</v>
      </c>
      <c r="G382" s="3381" t="s">
        <v>1534</v>
      </c>
      <c r="H382" s="3518"/>
      <c r="I382" s="3518"/>
      <c r="J382" s="3519"/>
      <c r="K382" s="937" t="str">
        <f>IF(K381=$S$15,$T$10,IF(ROUNDDOWN(K381,0)=$S$10,$U$10,$T$10))</f>
        <v>　レベル　1</v>
      </c>
      <c r="L382" s="3381" t="s">
        <v>1535</v>
      </c>
      <c r="M382" s="3518"/>
      <c r="N382" s="3518"/>
      <c r="O382" s="3519"/>
    </row>
    <row r="383" spans="2:15" ht="21" customHeight="1">
      <c r="B383" s="1" t="s">
        <v>1509</v>
      </c>
      <c r="C383" s="1" t="s">
        <v>1509</v>
      </c>
      <c r="D383" s="908"/>
      <c r="E383" s="1059"/>
      <c r="F383" s="942" t="str">
        <f>IF(F381=$S$15,$T$11,IF(ROUNDDOWN(F381,0)=$S$11,$U$11,$T$11))</f>
        <v>　レベル　2</v>
      </c>
      <c r="G383" s="3419" t="s">
        <v>2178</v>
      </c>
      <c r="H383" s="3420"/>
      <c r="I383" s="3420"/>
      <c r="J383" s="3421"/>
      <c r="K383" s="942" t="str">
        <f>IF(K381=$S$15,$T$11,IF(ROUNDDOWN(K381,0)=$S$11,$U$11,$T$11))</f>
        <v>　レベル　2</v>
      </c>
      <c r="L383" s="3419" t="s">
        <v>2178</v>
      </c>
      <c r="M383" s="3420"/>
      <c r="N383" s="3420"/>
      <c r="O383" s="3421"/>
    </row>
    <row r="384" spans="2:15" ht="21" customHeight="1">
      <c r="B384" s="1">
        <v>3</v>
      </c>
      <c r="C384" s="1">
        <v>3</v>
      </c>
      <c r="D384" s="908"/>
      <c r="E384" s="1059"/>
      <c r="F384" s="942" t="str">
        <f>IF(F381=$S$15,$T$12,IF(ROUNDDOWN(F381,0)=$S$12,$U$12,$T$12))</f>
        <v>■レベル　3</v>
      </c>
      <c r="G384" s="3419" t="s">
        <v>128</v>
      </c>
      <c r="H384" s="3420"/>
      <c r="I384" s="3420"/>
      <c r="J384" s="3421"/>
      <c r="K384" s="942" t="str">
        <f>IF(K381=$S$15,$T$12,IF(ROUNDDOWN(K381,0)=$S$12,$U$12,$T$12))</f>
        <v>■レベル　3</v>
      </c>
      <c r="L384" s="3419" t="s">
        <v>129</v>
      </c>
      <c r="M384" s="3420"/>
      <c r="N384" s="3420"/>
      <c r="O384" s="3421"/>
    </row>
    <row r="385" spans="2:15" ht="21" customHeight="1">
      <c r="B385" s="1" t="s">
        <v>1509</v>
      </c>
      <c r="C385" s="1" t="s">
        <v>1509</v>
      </c>
      <c r="D385" s="908"/>
      <c r="E385" s="1059" t="s">
        <v>130</v>
      </c>
      <c r="F385" s="942" t="str">
        <f>IF(F381=$S$15,$T$13,IF(ROUNDDOWN(F381,0)=$S$13,$U$13,$T$13))</f>
        <v>　レベル　4</v>
      </c>
      <c r="G385" s="3419" t="s">
        <v>2178</v>
      </c>
      <c r="H385" s="3420"/>
      <c r="I385" s="3420"/>
      <c r="J385" s="3421"/>
      <c r="K385" s="942" t="str">
        <f>IF(K381=$S$15,$T$13,IF(ROUNDDOWN(K381,0)=$S$13,$U$13,$T$13))</f>
        <v>　レベル　4</v>
      </c>
      <c r="L385" s="3419" t="s">
        <v>2178</v>
      </c>
      <c r="M385" s="3420"/>
      <c r="N385" s="3420"/>
      <c r="O385" s="3421"/>
    </row>
    <row r="386" spans="2:15" ht="32.25" customHeight="1">
      <c r="B386" s="1">
        <v>5</v>
      </c>
      <c r="C386" s="1">
        <v>5</v>
      </c>
      <c r="D386" s="908"/>
      <c r="E386" s="1059"/>
      <c r="F386" s="953" t="str">
        <f>IF(F381=$S$15,$T$14,IF(ROUNDDOWN(F381,0)=$S$14,$U$14,$T$14))</f>
        <v>　レベル　5</v>
      </c>
      <c r="G386" s="3410" t="s">
        <v>1536</v>
      </c>
      <c r="H386" s="3430"/>
      <c r="I386" s="3430"/>
      <c r="J386" s="3431"/>
      <c r="K386" s="953" t="str">
        <f>IF(K381=$S$15,$T$14,IF(ROUNDDOWN(K381,0)=$S$14,$U$14,$T$14))</f>
        <v>　レベル　5</v>
      </c>
      <c r="L386" s="3410" t="s">
        <v>1537</v>
      </c>
      <c r="M386" s="3430"/>
      <c r="N386" s="3430"/>
      <c r="O386" s="3431"/>
    </row>
    <row r="387" spans="2:15" ht="15.75">
      <c r="B387" s="960">
        <v>0</v>
      </c>
      <c r="C387" s="960">
        <v>0</v>
      </c>
      <c r="D387" s="908"/>
      <c r="E387" s="1059"/>
      <c r="F387" s="1083"/>
      <c r="G387" s="1083"/>
      <c r="H387" s="1083"/>
      <c r="I387" s="1083"/>
      <c r="J387" s="1081"/>
      <c r="K387" s="1081"/>
      <c r="L387" s="1083"/>
      <c r="M387" s="1083"/>
      <c r="N387" s="1081"/>
      <c r="O387" s="1282"/>
    </row>
    <row r="388" spans="2:15" ht="15.75">
      <c r="D388" s="908"/>
      <c r="E388" s="1059"/>
      <c r="F388" s="1084" t="s">
        <v>1538</v>
      </c>
      <c r="G388" s="996"/>
      <c r="H388" s="1045"/>
      <c r="I388" s="1025"/>
      <c r="J388" s="999" t="str">
        <f>IF(OR(F390=0,J389=0),$R$3,"")</f>
        <v/>
      </c>
      <c r="K388" s="1084" t="s">
        <v>1539</v>
      </c>
      <c r="L388" s="996"/>
      <c r="M388" s="1045"/>
      <c r="N388" s="1025"/>
      <c r="O388" s="999" t="str">
        <f>IF(OR(K390=0,O389=0),$R$3,"")</f>
        <v/>
      </c>
    </row>
    <row r="389" spans="2:15" ht="16.5" thickBot="1">
      <c r="D389" s="908"/>
      <c r="E389" s="1059"/>
      <c r="F389" s="923"/>
      <c r="G389" s="924"/>
      <c r="H389" s="925"/>
      <c r="I389" s="926" t="s">
        <v>1364</v>
      </c>
      <c r="J389" s="929">
        <f>重み!M110</f>
        <v>0.2</v>
      </c>
      <c r="K389" s="923"/>
      <c r="L389" s="924"/>
      <c r="M389" s="925"/>
      <c r="N389" s="926" t="s">
        <v>1364</v>
      </c>
      <c r="O389" s="929">
        <f>重み!M111</f>
        <v>0.2</v>
      </c>
    </row>
    <row r="390" spans="2:15" ht="27" customHeight="1" thickBot="1">
      <c r="D390" s="908"/>
      <c r="E390" s="1059"/>
      <c r="F390" s="930">
        <v>3</v>
      </c>
      <c r="G390" s="1046" t="s">
        <v>1505</v>
      </c>
      <c r="H390" s="936"/>
      <c r="I390" s="935"/>
      <c r="J390" s="936"/>
      <c r="K390" s="930">
        <v>3</v>
      </c>
      <c r="L390" s="1046" t="s">
        <v>1505</v>
      </c>
      <c r="M390" s="936"/>
      <c r="N390" s="1046"/>
      <c r="O390" s="1051"/>
    </row>
    <row r="391" spans="2:15" ht="43.5" customHeight="1">
      <c r="B391" s="1">
        <v>1</v>
      </c>
      <c r="C391" s="1" t="s">
        <v>1509</v>
      </c>
      <c r="D391" s="908"/>
      <c r="E391" s="1283" t="str">
        <f>IF(AND(D393="対象外",H392&gt;0.001),"★入力エラー：レベル１～５を選択し直してください！","")</f>
        <v/>
      </c>
      <c r="F391" s="937" t="str">
        <f>IF(F390=$S$15,$T$10,IF(ROUNDDOWN(F390,0)=$S$10,$U$10,$T$10))</f>
        <v>　レベル　1</v>
      </c>
      <c r="G391" s="3381" t="s">
        <v>59</v>
      </c>
      <c r="H391" s="3518"/>
      <c r="I391" s="3518"/>
      <c r="J391" s="3519"/>
      <c r="K391" s="937" t="str">
        <f>IF(K390=$S$15,$T$10,IF(ROUNDDOWN(K390,0)=$S$10,$U$10,$T$10))</f>
        <v>　レベル　1</v>
      </c>
      <c r="L391" s="3381" t="s">
        <v>2178</v>
      </c>
      <c r="M391" s="3518"/>
      <c r="N391" s="3518"/>
      <c r="O391" s="3519"/>
    </row>
    <row r="392" spans="2:15" ht="21" customHeight="1">
      <c r="B392" s="1" t="s">
        <v>1509</v>
      </c>
      <c r="C392" s="1" t="s">
        <v>1509</v>
      </c>
      <c r="D392" s="908"/>
      <c r="E392" s="1059"/>
      <c r="F392" s="942" t="str">
        <f>IF(F390=$S$15,$T$11,IF(ROUNDDOWN(F390,0)=$S$11,$U$11,$T$11))</f>
        <v>　レベル　2</v>
      </c>
      <c r="G392" s="3419" t="s">
        <v>2178</v>
      </c>
      <c r="H392" s="3420"/>
      <c r="I392" s="3420"/>
      <c r="J392" s="3421"/>
      <c r="K392" s="942" t="str">
        <f>IF(K390=$S$15,$T$11,IF(ROUNDDOWN(K390,0)=$S$11,$U$11,$T$11))</f>
        <v>　レベル　2</v>
      </c>
      <c r="L392" s="3419" t="s">
        <v>2178</v>
      </c>
      <c r="M392" s="3420"/>
      <c r="N392" s="3420"/>
      <c r="O392" s="3421"/>
    </row>
    <row r="393" spans="2:15" ht="40.5" customHeight="1">
      <c r="B393" s="1">
        <v>3</v>
      </c>
      <c r="C393" s="1">
        <v>3</v>
      </c>
      <c r="D393" s="908"/>
      <c r="E393" s="1059"/>
      <c r="F393" s="942" t="str">
        <f>IF(F390=$S$15,$T$12,IF(ROUNDDOWN(F390,0)=$S$12,$U$12,$T$12))</f>
        <v>■レベル　3</v>
      </c>
      <c r="G393" s="3419" t="s">
        <v>60</v>
      </c>
      <c r="H393" s="3420"/>
      <c r="I393" s="3420"/>
      <c r="J393" s="3421"/>
      <c r="K393" s="942" t="str">
        <f>IF(K390=$S$15,$T$12,IF(ROUNDDOWN(K390,0)=$S$12,$U$12,$T$12))</f>
        <v>■レベル　3</v>
      </c>
      <c r="L393" s="3419" t="s">
        <v>1540</v>
      </c>
      <c r="M393" s="3420"/>
      <c r="N393" s="3420"/>
      <c r="O393" s="3421"/>
    </row>
    <row r="394" spans="2:15" ht="40.5" customHeight="1">
      <c r="B394" s="1">
        <v>4</v>
      </c>
      <c r="C394" s="1">
        <v>4</v>
      </c>
      <c r="D394" s="908"/>
      <c r="E394" s="1059"/>
      <c r="F394" s="942" t="str">
        <f>IF(F390=$S$15,$T$13,IF(ROUNDDOWN(F390,0)=$S$13,$U$13,$T$13))</f>
        <v>　レベル　4</v>
      </c>
      <c r="G394" s="3419" t="s">
        <v>62</v>
      </c>
      <c r="H394" s="3420"/>
      <c r="I394" s="3420"/>
      <c r="J394" s="3421"/>
      <c r="K394" s="942" t="str">
        <f>IF(K390=$S$15,$T$13,IF(ROUNDDOWN(K390,0)=$S$13,$U$13,$T$13))</f>
        <v>　レベル　4</v>
      </c>
      <c r="L394" s="3419" t="s">
        <v>500</v>
      </c>
      <c r="M394" s="3420"/>
      <c r="N394" s="3420"/>
      <c r="O394" s="3421"/>
    </row>
    <row r="395" spans="2:15" ht="40.5" customHeight="1">
      <c r="B395" s="1">
        <v>5</v>
      </c>
      <c r="C395" s="1" t="s">
        <v>1509</v>
      </c>
      <c r="D395" s="908"/>
      <c r="E395" s="1059"/>
      <c r="F395" s="953" t="str">
        <f>IF(F390=$S$15,$T$14,IF(ROUNDDOWN(F390,0)=$S$14,$U$14,$T$14))</f>
        <v>　レベル　5</v>
      </c>
      <c r="G395" s="3410" t="s">
        <v>61</v>
      </c>
      <c r="H395" s="3430"/>
      <c r="I395" s="3430"/>
      <c r="J395" s="3431"/>
      <c r="K395" s="953" t="str">
        <f>IF(K390=$S$15,$T$14,IF(ROUNDDOWN(K390,0)=$S$14,$U$14,$T$14))</f>
        <v>　レベル　5</v>
      </c>
      <c r="L395" s="3410" t="s">
        <v>2178</v>
      </c>
      <c r="M395" s="3430"/>
      <c r="N395" s="3430"/>
      <c r="O395" s="3431"/>
    </row>
    <row r="396" spans="2:15">
      <c r="B396" s="960">
        <v>0</v>
      </c>
      <c r="C396" s="960">
        <v>0</v>
      </c>
    </row>
    <row r="397" spans="2:15" hidden="1"/>
    <row r="398" spans="2:15" hidden="1"/>
    <row r="399" spans="2:15" hidden="1"/>
    <row r="400" spans="2:15"/>
    <row r="401"/>
    <row r="402"/>
  </sheetData>
  <sheetProtection algorithmName="SHA-512" hashValue="6e/79SjuBQGwXRvFamYAJy84yizbaSDKFNiyQJANbPYz1kluhnguQXwyQk1X5QEgke34x8Dp2C79ohKHharr8Q==" saltValue="8Yp+GrQgSgjOAMG2Dk0oug==" spinCount="100000"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99" priority="62" stopIfTrue="1">
      <formula>AND(OR(K9&lt;1,K9&gt;5),K9&lt;&gt;0)</formula>
    </cfRule>
    <cfRule type="expression" dxfId="198" priority="63" stopIfTrue="1">
      <formula>$O8&gt;0</formula>
    </cfRule>
  </conditionalFormatting>
  <conditionalFormatting sqref="F9 F18 F27 F37 F46 F213 F194 F204 F222 F390 F342 F351 F362 F372 F381 F312 F232 F241">
    <cfRule type="expression" dxfId="197" priority="68" stopIfTrue="1">
      <formula>AND(OR(F9&lt;1,F9&gt;5),F9&lt;&gt;0)</formula>
    </cfRule>
    <cfRule type="expression" dxfId="196" priority="69" stopIfTrue="1">
      <formula>$J8&gt;0</formula>
    </cfRule>
  </conditionalFormatting>
  <conditionalFormatting sqref="F61">
    <cfRule type="expression" dxfId="195" priority="164" stopIfTrue="1">
      <formula>AND(OR(F61&lt;1,F61&gt;5),F61&lt;&gt;0)</formula>
    </cfRule>
    <cfRule type="expression" dxfId="194" priority="165" stopIfTrue="1">
      <formula>AND(J54&gt;0,H61=$T$4)</formula>
    </cfRule>
  </conditionalFormatting>
  <conditionalFormatting sqref="F64:F67">
    <cfRule type="expression" dxfId="193" priority="169" stopIfTrue="1">
      <formula>AND($J$54&gt;0,$H$61=$T$3)</formula>
    </cfRule>
  </conditionalFormatting>
  <conditionalFormatting sqref="K64:K67">
    <cfRule type="expression" dxfId="192" priority="177" stopIfTrue="1">
      <formula>AND($O$54&gt;0,$M$61=$T$3)</formula>
    </cfRule>
  </conditionalFormatting>
  <conditionalFormatting sqref="F262:F265">
    <cfRule type="expression" dxfId="191" priority="182" stopIfTrue="1">
      <formula>AND($J$250&gt;0,$H$257=$T$3)</formula>
    </cfRule>
  </conditionalFormatting>
  <conditionalFormatting sqref="F281:F285">
    <cfRule type="expression" dxfId="190" priority="190" stopIfTrue="1">
      <formula>AND($J$269&gt;0.001,$H$276=$T$3)</formula>
    </cfRule>
  </conditionalFormatting>
  <conditionalFormatting sqref="F286:F287">
    <cfRule type="expression" dxfId="189" priority="191" stopIfTrue="1">
      <formula>AND($J$269&gt;0.001,$H$276=$T$3,$G$279&gt;0)</formula>
    </cfRule>
  </conditionalFormatting>
  <conditionalFormatting sqref="F330 F335">
    <cfRule type="expression" dxfId="188" priority="193" stopIfTrue="1">
      <formula>AND($J$320&gt;0.001,$H$327=$T$3)</formula>
    </cfRule>
  </conditionalFormatting>
  <conditionalFormatting sqref="F331:F334">
    <cfRule type="expression" dxfId="187" priority="195" stopIfTrue="1">
      <formula>AND($J$320&gt;0.001,$H$327=$T$3)</formula>
    </cfRule>
  </conditionalFormatting>
  <conditionalFormatting sqref="F82:F93">
    <cfRule type="expression" dxfId="186" priority="50">
      <formula>AND($J$72&gt;0,$H$79=$T$3)</formula>
    </cfRule>
  </conditionalFormatting>
  <conditionalFormatting sqref="H61">
    <cfRule type="expression" dxfId="185" priority="49">
      <formula>J54&gt;0</formula>
    </cfRule>
  </conditionalFormatting>
  <conditionalFormatting sqref="M61">
    <cfRule type="expression" dxfId="184" priority="48">
      <formula>O54&gt;0</formula>
    </cfRule>
  </conditionalFormatting>
  <conditionalFormatting sqref="K61">
    <cfRule type="expression" dxfId="183" priority="44" stopIfTrue="1">
      <formula>AND(OR(K61&lt;1,K61&gt;5),K61&lt;&gt;0)</formula>
    </cfRule>
    <cfRule type="expression" dxfId="182" priority="45" stopIfTrue="1">
      <formula>AND(O54&gt;0,M61=$T$4)</formula>
    </cfRule>
  </conditionalFormatting>
  <conditionalFormatting sqref="F126:F138">
    <cfRule type="expression" dxfId="181" priority="37">
      <formula>AND($M$116&gt;0,$H$123=$T$3)</formula>
    </cfRule>
  </conditionalFormatting>
  <conditionalFormatting sqref="F302:F307">
    <cfRule type="expression" dxfId="180" priority="199" stopIfTrue="1">
      <formula>AND($J$291&gt;0.001,$H$298=$T$3)</formula>
    </cfRule>
  </conditionalFormatting>
  <conditionalFormatting sqref="F79">
    <cfRule type="expression" dxfId="179" priority="23" stopIfTrue="1">
      <formula>AND(OR(F79&lt;1,F79&gt;5),F79&lt;&gt;0)</formula>
    </cfRule>
    <cfRule type="expression" dxfId="178" priority="24" stopIfTrue="1">
      <formula>AND(J72&gt;0,H79=$T$4)</formula>
    </cfRule>
  </conditionalFormatting>
  <conditionalFormatting sqref="H79">
    <cfRule type="expression" dxfId="177" priority="22">
      <formula>J72&gt;0</formula>
    </cfRule>
  </conditionalFormatting>
  <conditionalFormatting sqref="F123">
    <cfRule type="expression" dxfId="176" priority="20" stopIfTrue="1">
      <formula>AND(OR(F123&lt;1,F123&gt;5),F123&lt;&gt;0)</formula>
    </cfRule>
    <cfRule type="expression" dxfId="175" priority="21" stopIfTrue="1">
      <formula>AND(J116&gt;0,H123=$T$4)</formula>
    </cfRule>
  </conditionalFormatting>
  <conditionalFormatting sqref="H123">
    <cfRule type="expression" dxfId="174" priority="19">
      <formula>J116&gt;0</formula>
    </cfRule>
  </conditionalFormatting>
  <conditionalFormatting sqref="F257">
    <cfRule type="expression" dxfId="173" priority="17" stopIfTrue="1">
      <formula>AND(OR(F257&lt;1,F257&gt;5),F257&lt;&gt;0)</formula>
    </cfRule>
    <cfRule type="expression" dxfId="172" priority="18" stopIfTrue="1">
      <formula>AND(J250&gt;0,H257=$T$4)</formula>
    </cfRule>
  </conditionalFormatting>
  <conditionalFormatting sqref="H257">
    <cfRule type="expression" dxfId="171" priority="16">
      <formula>J250&gt;0</formula>
    </cfRule>
  </conditionalFormatting>
  <conditionalFormatting sqref="F298">
    <cfRule type="expression" dxfId="170" priority="11" stopIfTrue="1">
      <formula>AND(OR(F298&lt;1,F298&gt;5),F298&lt;&gt;0)</formula>
    </cfRule>
    <cfRule type="expression" dxfId="169" priority="12" stopIfTrue="1">
      <formula>AND(J291&gt;0,H298=$T$4)</formula>
    </cfRule>
  </conditionalFormatting>
  <conditionalFormatting sqref="H298">
    <cfRule type="expression" dxfId="168" priority="10">
      <formula>J291&gt;0</formula>
    </cfRule>
  </conditionalFormatting>
  <conditionalFormatting sqref="F327">
    <cfRule type="expression" dxfId="167" priority="8" stopIfTrue="1">
      <formula>AND(OR(F327&lt;1,F327&gt;5),F327&lt;&gt;0)</formula>
    </cfRule>
    <cfRule type="expression" dxfId="166" priority="9" stopIfTrue="1">
      <formula>AND(J320&gt;0,H327=$T$4)</formula>
    </cfRule>
  </conditionalFormatting>
  <conditionalFormatting sqref="H327">
    <cfRule type="expression" dxfId="165" priority="7">
      <formula>J320&gt;0</formula>
    </cfRule>
  </conditionalFormatting>
  <conditionalFormatting sqref="F176">
    <cfRule type="expression" dxfId="164" priority="5" stopIfTrue="1">
      <formula>AND(OR(F176&lt;1,F176&gt;5),F176&lt;&gt;0)</formula>
    </cfRule>
    <cfRule type="expression" dxfId="163" priority="6" stopIfTrue="1">
      <formula>AND(J169&gt;0,H176=$T$4)</formula>
    </cfRule>
  </conditionalFormatting>
  <conditionalFormatting sqref="H176">
    <cfRule type="expression" dxfId="162" priority="4">
      <formula>J169&gt;0</formula>
    </cfRule>
  </conditionalFormatting>
  <conditionalFormatting sqref="F276">
    <cfRule type="expression" dxfId="161" priority="2" stopIfTrue="1">
      <formula>AND(OR(F276&lt;1,F276&gt;5),F276&lt;&gt;0)</formula>
    </cfRule>
    <cfRule type="expression" dxfId="160" priority="3" stopIfTrue="1">
      <formula>AND(J269&gt;0,H276=$T$4)</formula>
    </cfRule>
  </conditionalFormatting>
  <conditionalFormatting sqref="H276">
    <cfRule type="expression" dxfId="15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C6" sqref="C6"/>
    </sheetView>
  </sheetViews>
  <sheetFormatPr defaultColWidth="0" defaultRowHeight="13.5" zeroHeight="1"/>
  <cols>
    <col min="1" max="1" width="2.375" customWidth="1"/>
    <col min="2" max="2" width="10.25" hidden="1" customWidth="1"/>
    <col min="3" max="3" width="3.375" hidden="1" customWidth="1"/>
    <col min="4" max="4" width="4.875" style="227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4"/>
      <c r="F1" s="1285"/>
      <c r="G1" s="1285"/>
      <c r="H1" s="1285"/>
      <c r="I1" s="1285"/>
      <c r="J1" s="1286"/>
      <c r="K1" s="1285"/>
      <c r="L1" s="1285"/>
      <c r="M1" s="905" t="s">
        <v>2697</v>
      </c>
      <c r="N1" s="906" t="str">
        <f>メイン!C11</f>
        <v>○○ビル</v>
      </c>
      <c r="O1" s="907"/>
    </row>
    <row r="2" spans="2:21" ht="16.5" thickBot="1">
      <c r="D2" s="908"/>
      <c r="E2" s="559"/>
      <c r="F2" s="909"/>
      <c r="G2" s="909"/>
      <c r="H2" s="909"/>
      <c r="I2" s="909"/>
      <c r="J2" s="1287"/>
      <c r="K2" s="909"/>
      <c r="L2" s="909"/>
      <c r="M2" s="909"/>
      <c r="N2" s="909"/>
      <c r="O2" s="909"/>
      <c r="R2" s="2687"/>
      <c r="S2" t="s">
        <v>1335</v>
      </c>
    </row>
    <row r="3" spans="2:21" ht="18.75" thickBot="1">
      <c r="D3" s="1288" t="s">
        <v>2584</v>
      </c>
      <c r="E3" s="1289"/>
      <c r="F3" s="910"/>
      <c r="G3" s="910"/>
      <c r="H3" s="911"/>
      <c r="I3" s="912" t="s">
        <v>2576</v>
      </c>
      <c r="J3" s="1290"/>
      <c r="K3" s="1290"/>
      <c r="L3" s="913"/>
      <c r="M3" s="913"/>
      <c r="N3" s="1290"/>
      <c r="O3" s="1291" t="str">
        <f>IF(メイン!E39=0,"",メイン!E39)</f>
        <v/>
      </c>
      <c r="R3" s="2687" t="s">
        <v>1361</v>
      </c>
      <c r="S3" t="s">
        <v>2585</v>
      </c>
      <c r="T3" t="s">
        <v>3340</v>
      </c>
      <c r="U3" t="str">
        <f>メイン!I37</f>
        <v>基本設計段階</v>
      </c>
    </row>
    <row r="4" spans="2:21" ht="17.25">
      <c r="D4" s="908"/>
      <c r="E4" s="1289"/>
      <c r="F4" s="910"/>
      <c r="G4" s="910"/>
      <c r="H4" s="910"/>
      <c r="I4" s="910"/>
      <c r="J4" s="1292"/>
      <c r="K4" s="910"/>
      <c r="L4" s="910"/>
      <c r="M4" s="910"/>
      <c r="N4" s="910"/>
      <c r="O4" s="910"/>
      <c r="R4">
        <v>0</v>
      </c>
      <c r="T4" t="s">
        <v>3344</v>
      </c>
      <c r="U4" t="str">
        <f>メイン!I38</f>
        <v>実施設計段階</v>
      </c>
    </row>
    <row r="5" spans="2:21" ht="17.25">
      <c r="D5" s="1404">
        <v>1</v>
      </c>
      <c r="E5" s="1143" t="s">
        <v>501</v>
      </c>
      <c r="F5" s="916"/>
      <c r="G5" s="910"/>
      <c r="H5" s="910"/>
      <c r="I5" s="910"/>
      <c r="J5" s="1292"/>
      <c r="K5" s="910"/>
      <c r="L5" s="910"/>
      <c r="M5" s="910"/>
      <c r="N5" s="910"/>
      <c r="O5" s="910"/>
      <c r="R5">
        <v>1</v>
      </c>
      <c r="U5" t="str">
        <f>メイン!I39</f>
        <v>竣工段階</v>
      </c>
    </row>
    <row r="6" spans="2:21" ht="15" thickBot="1">
      <c r="D6" s="2280"/>
      <c r="E6" s="1293"/>
      <c r="F6" s="923"/>
      <c r="G6" s="924"/>
      <c r="H6" s="924" t="s">
        <v>1364</v>
      </c>
      <c r="I6" s="1039"/>
      <c r="J6" s="2835">
        <f>重み!M113</f>
        <v>0.3</v>
      </c>
      <c r="K6" s="925"/>
      <c r="L6" s="925"/>
      <c r="M6" s="925"/>
      <c r="N6" s="925"/>
      <c r="O6" s="1030"/>
      <c r="P6" s="2687"/>
      <c r="R6">
        <v>2</v>
      </c>
      <c r="S6" t="s">
        <v>2586</v>
      </c>
    </row>
    <row r="7" spans="2:21" ht="27" customHeight="1" thickBot="1">
      <c r="D7" s="1404"/>
      <c r="E7" s="1143"/>
      <c r="F7" s="2051">
        <f>ROUND(IF(H30&lt;=3,1,IF(H30&lt;=6,2,IF(H30&lt;=9,3,IF(H30&lt;=12,4,IF(H30&gt;=13,5))))),0)</f>
        <v>3</v>
      </c>
      <c r="G7" s="1071" t="s">
        <v>502</v>
      </c>
      <c r="H7" s="1052"/>
      <c r="I7" s="1052"/>
      <c r="J7" s="1052"/>
      <c r="K7" s="1052"/>
      <c r="L7" s="1052"/>
      <c r="M7" s="1052"/>
      <c r="N7" s="1052"/>
      <c r="O7" s="1073"/>
      <c r="S7" t="s">
        <v>2587</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2588</v>
      </c>
      <c r="H9" s="947"/>
      <c r="I9" s="947"/>
      <c r="J9" s="947"/>
      <c r="K9" s="947"/>
      <c r="L9" s="947"/>
      <c r="M9" s="947"/>
      <c r="N9" s="947"/>
      <c r="O9" s="948"/>
    </row>
    <row r="10" spans="2:21" ht="21" customHeight="1">
      <c r="D10" s="908"/>
      <c r="E10" s="918"/>
      <c r="F10" s="942" t="str">
        <f>IF(ROUNDDOWN($F$7,0)=$S$12,$U$12,$T$12)</f>
        <v>■レベル　3</v>
      </c>
      <c r="G10" s="946" t="s">
        <v>2589</v>
      </c>
      <c r="H10" s="947"/>
      <c r="I10" s="947"/>
      <c r="J10" s="947"/>
      <c r="K10" s="947"/>
      <c r="L10" s="947"/>
      <c r="M10" s="947"/>
      <c r="N10" s="947"/>
      <c r="O10" s="948"/>
      <c r="S10">
        <v>1</v>
      </c>
      <c r="T10" t="s">
        <v>2590</v>
      </c>
      <c r="U10" t="s">
        <v>2591</v>
      </c>
    </row>
    <row r="11" spans="2:21" ht="21" customHeight="1">
      <c r="D11" s="908"/>
      <c r="E11" s="918"/>
      <c r="F11" s="942" t="str">
        <f>IF(ROUNDDOWN($F$7,0)=$S$13,$U$13,$T$13)</f>
        <v>　レベル　4</v>
      </c>
      <c r="G11" s="946" t="s">
        <v>2592</v>
      </c>
      <c r="H11" s="947"/>
      <c r="I11" s="947"/>
      <c r="J11" s="947"/>
      <c r="K11" s="947"/>
      <c r="L11" s="947"/>
      <c r="M11" s="947"/>
      <c r="N11" s="947"/>
      <c r="O11" s="948"/>
      <c r="S11">
        <v>2</v>
      </c>
      <c r="T11" t="s">
        <v>1336</v>
      </c>
      <c r="U11" t="s">
        <v>1337</v>
      </c>
    </row>
    <row r="12" spans="2:21" ht="21" customHeight="1">
      <c r="D12" s="908"/>
      <c r="E12" s="918"/>
      <c r="F12" s="953" t="str">
        <f>IF(ROUNDDOWN($F$7,0)=$S$14,$U$14,$T$14)</f>
        <v>　レベル　5</v>
      </c>
      <c r="G12" s="957" t="s">
        <v>2593</v>
      </c>
      <c r="H12" s="958"/>
      <c r="I12" s="958"/>
      <c r="J12" s="958"/>
      <c r="K12" s="958"/>
      <c r="L12" s="958"/>
      <c r="M12" s="958"/>
      <c r="N12" s="958"/>
      <c r="O12" s="959"/>
      <c r="S12">
        <v>3</v>
      </c>
      <c r="T12" t="s">
        <v>1342</v>
      </c>
      <c r="U12" t="s">
        <v>1343</v>
      </c>
    </row>
    <row r="13" spans="2:21" ht="20.25" customHeight="1">
      <c r="D13" s="908"/>
      <c r="E13" s="918"/>
      <c r="F13" s="1284"/>
      <c r="G13" s="914" t="s">
        <v>2463</v>
      </c>
      <c r="H13" s="909"/>
      <c r="I13" s="1296"/>
      <c r="J13" s="1287"/>
      <c r="K13" s="909"/>
      <c r="L13" s="909"/>
      <c r="M13" s="909"/>
      <c r="N13" s="909"/>
      <c r="O13" s="909"/>
      <c r="S13">
        <v>4</v>
      </c>
      <c r="T13" t="s">
        <v>1221</v>
      </c>
      <c r="U13" t="s">
        <v>1222</v>
      </c>
    </row>
    <row r="14" spans="2:21" ht="16.5" thickBot="1">
      <c r="D14" s="908"/>
      <c r="E14" s="918"/>
      <c r="F14" s="1284"/>
      <c r="G14" s="1297" t="s">
        <v>234</v>
      </c>
      <c r="H14" s="3576" t="s">
        <v>1755</v>
      </c>
      <c r="I14" s="3577"/>
      <c r="J14" s="3576" t="s">
        <v>1748</v>
      </c>
      <c r="K14" s="3577"/>
      <c r="L14" s="3577"/>
      <c r="M14" s="3577"/>
      <c r="N14" s="3578"/>
      <c r="O14" s="1196" t="s">
        <v>1756</v>
      </c>
      <c r="S14">
        <v>5</v>
      </c>
      <c r="T14" t="s">
        <v>1228</v>
      </c>
      <c r="U14" t="s">
        <v>1229</v>
      </c>
    </row>
    <row r="15" spans="2:21" ht="34.5" customHeight="1">
      <c r="B15" s="1114" t="s">
        <v>235</v>
      </c>
      <c r="D15" s="908"/>
      <c r="E15" s="559"/>
      <c r="F15" s="1284"/>
      <c r="G15" s="2827">
        <v>2</v>
      </c>
      <c r="H15" s="3401" t="s">
        <v>2594</v>
      </c>
      <c r="I15" s="3602"/>
      <c r="J15" s="3595" t="s">
        <v>3347</v>
      </c>
      <c r="K15" s="3595"/>
      <c r="L15" s="3595"/>
      <c r="M15" s="3595"/>
      <c r="N15" s="3596"/>
      <c r="O15" s="1299">
        <v>2</v>
      </c>
      <c r="S15">
        <v>0</v>
      </c>
      <c r="T15" t="s">
        <v>2595</v>
      </c>
      <c r="U15" t="s">
        <v>2595</v>
      </c>
    </row>
    <row r="16" spans="2:21" ht="27" customHeight="1">
      <c r="B16" s="1114"/>
      <c r="D16" s="908"/>
      <c r="E16" s="559"/>
      <c r="F16" s="1284"/>
      <c r="G16" s="2866">
        <v>2</v>
      </c>
      <c r="H16" s="3402" t="s">
        <v>2596</v>
      </c>
      <c r="I16" s="3603"/>
      <c r="J16" s="3385" t="s">
        <v>3348</v>
      </c>
      <c r="K16" s="3402"/>
      <c r="L16" s="3402"/>
      <c r="M16" s="3402"/>
      <c r="N16" s="3429"/>
      <c r="O16" s="1302">
        <v>2</v>
      </c>
    </row>
    <row r="17" spans="4:15" ht="34.5" customHeight="1">
      <c r="D17" s="908"/>
      <c r="E17" s="559"/>
      <c r="F17" s="1284"/>
      <c r="G17" s="3562">
        <v>1</v>
      </c>
      <c r="H17" s="3607" t="s">
        <v>219</v>
      </c>
      <c r="I17" s="3608"/>
      <c r="J17" s="3581" t="s">
        <v>3349</v>
      </c>
      <c r="K17" s="3582"/>
      <c r="L17" s="3582"/>
      <c r="M17" s="3582"/>
      <c r="N17" s="3583"/>
      <c r="O17" s="3604" t="s">
        <v>236</v>
      </c>
    </row>
    <row r="18" spans="4:15" ht="27" customHeight="1">
      <c r="D18" s="908"/>
      <c r="E18" s="559"/>
      <c r="F18" s="1284"/>
      <c r="G18" s="3613"/>
      <c r="H18" s="3609"/>
      <c r="I18" s="3610"/>
      <c r="J18" s="3489" t="s">
        <v>3350</v>
      </c>
      <c r="K18" s="3585"/>
      <c r="L18" s="3585"/>
      <c r="M18" s="3585"/>
      <c r="N18" s="3615"/>
      <c r="O18" s="3605"/>
    </row>
    <row r="19" spans="4:15" ht="27" customHeight="1">
      <c r="D19" s="908"/>
      <c r="E19" s="559"/>
      <c r="F19" s="1284"/>
      <c r="G19" s="3614"/>
      <c r="H19" s="3609"/>
      <c r="I19" s="3610"/>
      <c r="J19" s="3475" t="s">
        <v>1147</v>
      </c>
      <c r="K19" s="3579"/>
      <c r="L19" s="3579"/>
      <c r="M19" s="3579"/>
      <c r="N19" s="3580"/>
      <c r="O19" s="3606"/>
    </row>
    <row r="20" spans="4:15" ht="27" customHeight="1">
      <c r="D20" s="908"/>
      <c r="E20" s="559"/>
      <c r="F20" s="1284"/>
      <c r="G20" s="3562">
        <v>2</v>
      </c>
      <c r="H20" s="3609"/>
      <c r="I20" s="3610"/>
      <c r="J20" s="3581" t="s">
        <v>3346</v>
      </c>
      <c r="K20" s="3582"/>
      <c r="L20" s="3582"/>
      <c r="M20" s="3582"/>
      <c r="N20" s="3583"/>
      <c r="O20" s="3604" t="s">
        <v>237</v>
      </c>
    </row>
    <row r="21" spans="4:15" ht="27" customHeight="1">
      <c r="D21" s="908"/>
      <c r="E21" s="559"/>
      <c r="F21" s="1284"/>
      <c r="G21" s="3614"/>
      <c r="H21" s="3611"/>
      <c r="I21" s="3612"/>
      <c r="J21" s="3475" t="s">
        <v>1148</v>
      </c>
      <c r="K21" s="3579"/>
      <c r="L21" s="3579"/>
      <c r="M21" s="3579"/>
      <c r="N21" s="3580"/>
      <c r="O21" s="3606"/>
    </row>
    <row r="22" spans="4:15" ht="27" customHeight="1">
      <c r="D22" s="908"/>
      <c r="E22" s="559"/>
      <c r="F22" s="1284"/>
      <c r="G22" s="2829">
        <v>0</v>
      </c>
      <c r="H22" s="3582" t="s">
        <v>1149</v>
      </c>
      <c r="I22" s="3584"/>
      <c r="J22" s="3385" t="s">
        <v>3399</v>
      </c>
      <c r="K22" s="3402"/>
      <c r="L22" s="3402"/>
      <c r="M22" s="3402"/>
      <c r="N22" s="3429"/>
      <c r="O22" s="1302">
        <v>1</v>
      </c>
    </row>
    <row r="23" spans="4:15" s="2687" customFormat="1" ht="27" customHeight="1">
      <c r="D23" s="908"/>
      <c r="E23" s="559"/>
      <c r="F23" s="1284"/>
      <c r="G23" s="2829">
        <v>0</v>
      </c>
      <c r="H23" s="3585"/>
      <c r="I23" s="3586"/>
      <c r="J23" s="2864" t="s">
        <v>3400</v>
      </c>
      <c r="K23" s="2860"/>
      <c r="L23" s="2860"/>
      <c r="M23" s="2860"/>
      <c r="N23" s="2859"/>
      <c r="O23" s="1302">
        <v>1</v>
      </c>
    </row>
    <row r="24" spans="4:15" ht="27" customHeight="1">
      <c r="D24" s="908"/>
      <c r="E24" s="559"/>
      <c r="F24" s="1284"/>
      <c r="G24" s="2829">
        <v>0</v>
      </c>
      <c r="H24" s="3587"/>
      <c r="I24" s="3586"/>
      <c r="J24" s="3385" t="s">
        <v>3401</v>
      </c>
      <c r="K24" s="3402"/>
      <c r="L24" s="3402"/>
      <c r="M24" s="3402"/>
      <c r="N24" s="3429"/>
      <c r="O24" s="1302">
        <v>1</v>
      </c>
    </row>
    <row r="25" spans="4:15" ht="27" customHeight="1">
      <c r="D25" s="908"/>
      <c r="E25" s="559"/>
      <c r="F25" s="1284"/>
      <c r="G25" s="2829">
        <v>0</v>
      </c>
      <c r="H25" s="3588"/>
      <c r="I25" s="3589"/>
      <c r="J25" s="3385" t="s">
        <v>3402</v>
      </c>
      <c r="K25" s="3402"/>
      <c r="L25" s="3402"/>
      <c r="M25" s="3402"/>
      <c r="N25" s="3429"/>
      <c r="O25" s="1302">
        <v>1</v>
      </c>
    </row>
    <row r="26" spans="4:15" ht="27" customHeight="1">
      <c r="D26" s="908"/>
      <c r="E26" s="559"/>
      <c r="F26" s="1284"/>
      <c r="G26" s="2829">
        <v>0</v>
      </c>
      <c r="H26" s="3582" t="s">
        <v>1150</v>
      </c>
      <c r="I26" s="3584"/>
      <c r="J26" s="3385" t="s">
        <v>3351</v>
      </c>
      <c r="K26" s="3402"/>
      <c r="L26" s="3402"/>
      <c r="M26" s="3402"/>
      <c r="N26" s="3429"/>
      <c r="O26" s="1302">
        <v>1</v>
      </c>
    </row>
    <row r="27" spans="4:15" ht="27" customHeight="1">
      <c r="D27" s="908"/>
      <c r="E27" s="559"/>
      <c r="F27" s="1284"/>
      <c r="G27" s="2829">
        <v>0</v>
      </c>
      <c r="H27" s="3588"/>
      <c r="I27" s="3589"/>
      <c r="J27" s="3385" t="s">
        <v>3352</v>
      </c>
      <c r="K27" s="3402"/>
      <c r="L27" s="3402"/>
      <c r="M27" s="3402"/>
      <c r="N27" s="3429"/>
      <c r="O27" s="1302">
        <v>1</v>
      </c>
    </row>
    <row r="28" spans="4:15" ht="27" customHeight="1">
      <c r="D28" s="908"/>
      <c r="E28" s="559"/>
      <c r="F28" s="1284"/>
      <c r="G28" s="3562">
        <v>0</v>
      </c>
      <c r="H28" s="3624" t="s">
        <v>2780</v>
      </c>
      <c r="I28" s="3583"/>
      <c r="J28" s="3581" t="s">
        <v>3403</v>
      </c>
      <c r="K28" s="3582"/>
      <c r="L28" s="3582"/>
      <c r="M28" s="3582"/>
      <c r="N28" s="3583"/>
      <c r="O28" s="3604">
        <v>1</v>
      </c>
    </row>
    <row r="29" spans="4:15" s="2687" customFormat="1" ht="27" customHeight="1" thickBot="1">
      <c r="D29" s="908"/>
      <c r="E29" s="559"/>
      <c r="F29" s="1284"/>
      <c r="G29" s="3629"/>
      <c r="H29" s="3481"/>
      <c r="I29" s="3460"/>
      <c r="J29" s="3572"/>
      <c r="K29" s="3573"/>
      <c r="L29" s="3573"/>
      <c r="M29" s="3573"/>
      <c r="N29" s="3574"/>
      <c r="O29" s="3632"/>
    </row>
    <row r="30" spans="4:15" ht="25.5" customHeight="1">
      <c r="D30" s="908"/>
      <c r="E30" s="559"/>
      <c r="F30" s="1284"/>
      <c r="G30" s="2768" t="s">
        <v>2781</v>
      </c>
      <c r="H30" s="1209">
        <f>SUM(G15:G28)</f>
        <v>7</v>
      </c>
      <c r="I30" s="2826" t="s">
        <v>3342</v>
      </c>
      <c r="J30" s="1193"/>
      <c r="K30" s="1194"/>
      <c r="L30" s="1193"/>
      <c r="M30" s="1194"/>
      <c r="N30" s="1193"/>
      <c r="O30" s="1203"/>
    </row>
    <row r="31" spans="4:15" ht="14.25" customHeight="1"/>
    <row r="32" spans="4:15" ht="14.25" customHeight="1">
      <c r="D32" s="1404">
        <v>2</v>
      </c>
      <c r="E32" s="1143" t="s">
        <v>238</v>
      </c>
      <c r="F32" s="916"/>
    </row>
    <row r="33" spans="2:16" ht="15" thickBot="1">
      <c r="D33" s="2280"/>
      <c r="E33" s="1293"/>
      <c r="F33" s="923"/>
      <c r="G33" s="924"/>
      <c r="H33" s="924" t="s">
        <v>1364</v>
      </c>
      <c r="I33" s="1039"/>
      <c r="J33" s="2835">
        <f>重み!M116</f>
        <v>0.4</v>
      </c>
      <c r="K33" s="925"/>
      <c r="L33" s="925"/>
      <c r="M33" s="925"/>
      <c r="N33" s="925"/>
      <c r="O33" s="1030"/>
      <c r="P33" s="2687"/>
    </row>
    <row r="34" spans="2:16" ht="27" customHeight="1" thickBot="1">
      <c r="D34" s="1404"/>
      <c r="E34" s="1143"/>
      <c r="F34" s="2051">
        <f>IF(H40=T4,F40,ROUND(IF(H51=0,1,IF(H51&lt;=2,2,IF(H51&lt;=3,3,IF(H51&lt;=4,4,IF(H51&gt;=5,5))))),0))</f>
        <v>3</v>
      </c>
      <c r="G34" s="1132" t="s">
        <v>502</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2386</v>
      </c>
      <c r="H36" s="1086"/>
      <c r="I36" s="1086"/>
      <c r="J36" s="1086"/>
      <c r="K36" s="1086"/>
      <c r="L36" s="1086"/>
      <c r="M36" s="1086"/>
      <c r="N36" s="1086"/>
      <c r="O36" s="952"/>
    </row>
    <row r="37" spans="2:16" ht="21" customHeight="1">
      <c r="B37" s="1">
        <v>3</v>
      </c>
      <c r="D37" s="908"/>
      <c r="E37" s="918"/>
      <c r="F37" s="942" t="str">
        <f>IF(ROUNDDOWN($F$34,0)=$S$12,$U$12,$T$12)</f>
        <v>■レベル　3</v>
      </c>
      <c r="G37" s="2119" t="s">
        <v>351</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2666</v>
      </c>
      <c r="H40" s="1015" t="s">
        <v>3339</v>
      </c>
      <c r="J40" s="140"/>
      <c r="K40" s="140"/>
      <c r="L40" s="140"/>
      <c r="M40" s="140"/>
      <c r="N40" s="140"/>
      <c r="O40" s="140"/>
    </row>
    <row r="41" spans="2:16" ht="52.5" customHeight="1">
      <c r="D41" s="908"/>
      <c r="E41" s="1169"/>
      <c r="F41" s="1169"/>
      <c r="G41" s="3593" t="s">
        <v>352</v>
      </c>
      <c r="H41" s="3594"/>
      <c r="I41" s="3594"/>
      <c r="J41" s="3594"/>
      <c r="K41" s="3594"/>
      <c r="L41" s="3594"/>
      <c r="M41" s="3594"/>
      <c r="N41" s="3594"/>
      <c r="O41" s="3594"/>
    </row>
    <row r="42" spans="2:16" ht="21" customHeight="1">
      <c r="D42" s="908"/>
      <c r="E42" s="918"/>
      <c r="F42" s="1284"/>
      <c r="G42" s="914" t="s">
        <v>2463</v>
      </c>
      <c r="H42" s="909"/>
      <c r="I42" s="1296"/>
      <c r="J42" s="1287"/>
      <c r="K42" s="909"/>
      <c r="L42" s="909"/>
      <c r="M42" s="909"/>
      <c r="N42" s="909"/>
      <c r="O42" s="909"/>
    </row>
    <row r="43" spans="2:16" ht="25.5" customHeight="1" thickBot="1">
      <c r="D43" s="908"/>
      <c r="E43" s="918"/>
      <c r="F43" s="1284"/>
      <c r="G43" s="1297" t="s">
        <v>234</v>
      </c>
      <c r="H43" s="3576" t="s">
        <v>1755</v>
      </c>
      <c r="I43" s="3577"/>
      <c r="J43" s="3576" t="s">
        <v>1748</v>
      </c>
      <c r="K43" s="3577"/>
      <c r="L43" s="3577"/>
      <c r="M43" s="3577"/>
      <c r="N43" s="3578"/>
      <c r="O43" s="1196" t="s">
        <v>1756</v>
      </c>
    </row>
    <row r="44" spans="2:16" ht="39.75" customHeight="1">
      <c r="D44" s="908"/>
      <c r="E44" s="559"/>
      <c r="F44" s="1284"/>
      <c r="G44" s="1309">
        <v>2</v>
      </c>
      <c r="H44" s="3516" t="s">
        <v>353</v>
      </c>
      <c r="I44" s="3602"/>
      <c r="J44" s="3595" t="s">
        <v>354</v>
      </c>
      <c r="K44" s="3595"/>
      <c r="L44" s="3595"/>
      <c r="M44" s="3595"/>
      <c r="N44" s="3596"/>
      <c r="O44" s="1299">
        <v>2</v>
      </c>
    </row>
    <row r="45" spans="2:16" ht="25.5" customHeight="1">
      <c r="D45" s="908"/>
      <c r="E45" s="559"/>
      <c r="F45" s="1284"/>
      <c r="G45" s="1310">
        <v>1</v>
      </c>
      <c r="H45" s="3497" t="s">
        <v>242</v>
      </c>
      <c r="I45" s="3601"/>
      <c r="J45" s="2119" t="s">
        <v>2387</v>
      </c>
      <c r="K45" s="1086"/>
      <c r="L45" s="1086"/>
      <c r="M45" s="1086"/>
      <c r="N45" s="952"/>
      <c r="O45" s="1302">
        <v>1</v>
      </c>
    </row>
    <row r="46" spans="2:16" ht="39.75" customHeight="1">
      <c r="D46" s="908"/>
      <c r="E46" s="559"/>
      <c r="F46" s="1284"/>
      <c r="G46" s="1310">
        <v>0</v>
      </c>
      <c r="H46" s="3497" t="s">
        <v>2388</v>
      </c>
      <c r="I46" s="3601"/>
      <c r="J46" s="3385" t="s">
        <v>137</v>
      </c>
      <c r="K46" s="3402"/>
      <c r="L46" s="3402"/>
      <c r="M46" s="3402"/>
      <c r="N46" s="3429"/>
      <c r="O46" s="1311">
        <v>1</v>
      </c>
    </row>
    <row r="47" spans="2:16" ht="25.5" customHeight="1">
      <c r="D47" s="908"/>
      <c r="E47" s="559"/>
      <c r="F47" s="1284"/>
      <c r="G47" s="1310">
        <v>0</v>
      </c>
      <c r="H47" s="3497" t="s">
        <v>243</v>
      </c>
      <c r="I47" s="3601"/>
      <c r="J47" s="2119" t="s">
        <v>138</v>
      </c>
      <c r="K47" s="1086"/>
      <c r="L47" s="1086"/>
      <c r="M47" s="1086"/>
      <c r="N47" s="952"/>
      <c r="O47" s="1311">
        <v>1</v>
      </c>
    </row>
    <row r="48" spans="2:16" ht="39.75" customHeight="1">
      <c r="D48" s="908"/>
      <c r="E48" s="559"/>
      <c r="F48" s="1284"/>
      <c r="G48" s="1310">
        <v>0</v>
      </c>
      <c r="H48" s="3497" t="s">
        <v>244</v>
      </c>
      <c r="I48" s="3603"/>
      <c r="J48" s="3385" t="s">
        <v>139</v>
      </c>
      <c r="K48" s="3402"/>
      <c r="L48" s="3402"/>
      <c r="M48" s="3402"/>
      <c r="N48" s="3429"/>
      <c r="O48" s="1311">
        <v>1</v>
      </c>
    </row>
    <row r="49" spans="2:16" ht="25.5" customHeight="1">
      <c r="D49" s="908"/>
      <c r="E49" s="559"/>
      <c r="F49" s="1284"/>
      <c r="G49" s="3534">
        <v>0</v>
      </c>
      <c r="H49" s="3624" t="s">
        <v>245</v>
      </c>
      <c r="I49" s="3625"/>
      <c r="J49" s="1312" t="s">
        <v>140</v>
      </c>
      <c r="K49" s="1304"/>
      <c r="L49" s="1304"/>
      <c r="M49" s="1304"/>
      <c r="N49" s="1305"/>
      <c r="O49" s="3617">
        <v>1</v>
      </c>
    </row>
    <row r="50" spans="2:16" ht="25.5" customHeight="1" thickBot="1">
      <c r="D50" s="908"/>
      <c r="E50" s="559"/>
      <c r="F50" s="1284"/>
      <c r="G50" s="3623"/>
      <c r="H50" s="3626"/>
      <c r="I50" s="3627"/>
      <c r="J50" s="3572"/>
      <c r="K50" s="3573"/>
      <c r="L50" s="3573"/>
      <c r="M50" s="3573"/>
      <c r="N50" s="3574"/>
      <c r="O50" s="3628"/>
    </row>
    <row r="51" spans="2:16" ht="21.75" customHeight="1">
      <c r="D51" s="908"/>
      <c r="E51" s="559"/>
      <c r="F51" s="1284"/>
      <c r="G51" s="2768" t="s">
        <v>141</v>
      </c>
      <c r="H51" s="1209">
        <f>SUM(G44:G50)</f>
        <v>3</v>
      </c>
      <c r="I51" s="2826" t="s">
        <v>3342</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5" thickBot="1">
      <c r="B55" t="s">
        <v>778</v>
      </c>
      <c r="D55" s="2280"/>
      <c r="E55" s="1293"/>
      <c r="F55" s="923"/>
      <c r="G55" s="924"/>
      <c r="H55" s="924" t="s">
        <v>1364</v>
      </c>
      <c r="I55" s="1039"/>
      <c r="J55" s="2835">
        <f>重み!M118</f>
        <v>0.5</v>
      </c>
      <c r="K55" s="925"/>
      <c r="L55" s="925"/>
      <c r="M55" s="925"/>
      <c r="N55" s="925"/>
      <c r="O55" s="1030"/>
      <c r="P55" s="2687"/>
    </row>
    <row r="56" spans="2:16" ht="27" customHeight="1" thickBot="1">
      <c r="B56" s="1167" t="s">
        <v>2522</v>
      </c>
      <c r="C56" t="s">
        <v>142</v>
      </c>
      <c r="D56" s="908"/>
      <c r="E56" s="918"/>
      <c r="F56" s="2056">
        <f>ROUND(IF(H83&lt;1,1,IF(H83=1,2,IF(H83&lt;=3,3,IF(H83&lt;=4,4,IF(H83&gt;=5,5))))),0)</f>
        <v>3</v>
      </c>
      <c r="G56" s="1132" t="s">
        <v>502</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1075</v>
      </c>
      <c r="H59" s="947"/>
      <c r="I59" s="947"/>
      <c r="J59" s="947"/>
      <c r="K59" s="947"/>
      <c r="L59" s="947"/>
      <c r="M59" s="947"/>
      <c r="N59" s="947"/>
      <c r="O59" s="948"/>
    </row>
    <row r="60" spans="2:16" ht="21" customHeight="1">
      <c r="D60" s="908"/>
      <c r="E60" s="918"/>
      <c r="F60" s="942" t="str">
        <f>IF(ROUNDDOWN($F$56,0)=$S$13,$U$13,$T$13)</f>
        <v>　レベル　4</v>
      </c>
      <c r="G60" s="946" t="s">
        <v>1076</v>
      </c>
      <c r="H60" s="947"/>
      <c r="I60" s="947"/>
      <c r="J60" s="947"/>
      <c r="K60" s="947"/>
      <c r="L60" s="947"/>
      <c r="M60" s="947"/>
      <c r="N60" s="947"/>
      <c r="O60" s="948"/>
    </row>
    <row r="61" spans="2:16" ht="21" customHeight="1">
      <c r="D61" s="908"/>
      <c r="E61" s="918"/>
      <c r="F61" s="953" t="str">
        <f>IF(ROUNDDOWN($F$56,0)=$S$14,$U$14,$T$14)</f>
        <v>　レベル　5</v>
      </c>
      <c r="G61" s="957" t="s">
        <v>1077</v>
      </c>
      <c r="H61" s="958"/>
      <c r="I61" s="958"/>
      <c r="J61" s="958"/>
      <c r="K61" s="958"/>
      <c r="L61" s="958"/>
      <c r="M61" s="958"/>
      <c r="N61" s="958"/>
      <c r="O61" s="959"/>
    </row>
    <row r="62" spans="2:16" ht="23.25" customHeight="1">
      <c r="D62" s="908"/>
      <c r="E62" s="918"/>
      <c r="F62" s="1284"/>
      <c r="G62" s="914" t="s">
        <v>2463</v>
      </c>
      <c r="H62" s="909"/>
      <c r="I62" s="1296"/>
      <c r="J62" s="1287"/>
      <c r="K62" s="909"/>
      <c r="L62" s="909"/>
      <c r="M62" s="909"/>
      <c r="N62" s="909"/>
      <c r="O62" s="909"/>
    </row>
    <row r="63" spans="2:16" ht="28.5" customHeight="1" thickBot="1">
      <c r="D63" s="908"/>
      <c r="E63" s="918"/>
      <c r="F63" s="1284"/>
      <c r="G63" s="1297" t="s">
        <v>234</v>
      </c>
      <c r="H63" s="3576" t="s">
        <v>1755</v>
      </c>
      <c r="I63" s="3577"/>
      <c r="J63" s="3576" t="s">
        <v>1748</v>
      </c>
      <c r="K63" s="3577"/>
      <c r="L63" s="3577"/>
      <c r="M63" s="3577"/>
      <c r="N63" s="3578"/>
      <c r="O63" s="1196" t="s">
        <v>1756</v>
      </c>
    </row>
    <row r="64" spans="2:16" ht="48" customHeight="1">
      <c r="D64" s="908"/>
      <c r="E64" s="559"/>
      <c r="F64" s="1284"/>
      <c r="G64" s="2831">
        <v>1</v>
      </c>
      <c r="H64" s="3597" t="s">
        <v>3404</v>
      </c>
      <c r="I64" s="3598"/>
      <c r="J64" s="3381" t="s">
        <v>143</v>
      </c>
      <c r="K64" s="3401"/>
      <c r="L64" s="3401"/>
      <c r="M64" s="3401"/>
      <c r="N64" s="3387"/>
      <c r="O64" s="1315">
        <v>1</v>
      </c>
    </row>
    <row r="65" spans="2:15" ht="57.75" customHeight="1">
      <c r="D65" s="908"/>
      <c r="E65" s="559"/>
      <c r="F65" s="1284"/>
      <c r="G65" s="2829">
        <v>1</v>
      </c>
      <c r="H65" s="3599"/>
      <c r="I65" s="3600"/>
      <c r="J65" s="3581" t="s">
        <v>1078</v>
      </c>
      <c r="K65" s="3582"/>
      <c r="L65" s="3582"/>
      <c r="M65" s="3582"/>
      <c r="N65" s="3583"/>
      <c r="O65" s="1313">
        <v>1</v>
      </c>
    </row>
    <row r="66" spans="2:15" ht="15.75" customHeight="1">
      <c r="D66" s="908"/>
      <c r="E66" s="559"/>
      <c r="F66" s="1284"/>
      <c r="G66" s="3562">
        <v>1</v>
      </c>
      <c r="H66" s="3564" t="s">
        <v>3405</v>
      </c>
      <c r="I66" s="3590"/>
      <c r="J66" s="3581" t="s">
        <v>666</v>
      </c>
      <c r="K66" s="3582"/>
      <c r="L66" s="3582"/>
      <c r="M66" s="3582"/>
      <c r="N66" s="3583"/>
      <c r="O66" s="3617">
        <v>1</v>
      </c>
    </row>
    <row r="67" spans="2:15" ht="42.75" customHeight="1">
      <c r="D67" s="908"/>
      <c r="E67" s="559"/>
      <c r="F67" s="1284"/>
      <c r="G67" s="3616"/>
      <c r="H67" s="3566"/>
      <c r="I67" s="3591"/>
      <c r="J67" s="3489" t="s">
        <v>667</v>
      </c>
      <c r="K67" s="3585"/>
      <c r="L67" s="3585"/>
      <c r="M67" s="3585"/>
      <c r="N67" s="3615"/>
      <c r="O67" s="3618"/>
    </row>
    <row r="68" spans="2:15" ht="31.5" customHeight="1">
      <c r="D68" s="908"/>
      <c r="E68" s="559"/>
      <c r="F68" s="1284"/>
      <c r="G68" s="3563"/>
      <c r="H68" s="3566"/>
      <c r="I68" s="3591"/>
      <c r="J68" s="3489" t="s">
        <v>668</v>
      </c>
      <c r="K68" s="3585"/>
      <c r="L68" s="3585"/>
      <c r="M68" s="3585"/>
      <c r="N68" s="3615"/>
      <c r="O68" s="3619"/>
    </row>
    <row r="69" spans="2:15" ht="52.5" customHeight="1">
      <c r="D69" s="908"/>
      <c r="E69" s="559"/>
      <c r="F69" s="1284"/>
      <c r="G69" s="3562">
        <v>0</v>
      </c>
      <c r="H69" s="3566"/>
      <c r="I69" s="3591"/>
      <c r="J69" s="3385" t="s">
        <v>669</v>
      </c>
      <c r="K69" s="3402"/>
      <c r="L69" s="3402"/>
      <c r="M69" s="3402"/>
      <c r="N69" s="3429"/>
      <c r="O69" s="1317">
        <v>1</v>
      </c>
    </row>
    <row r="70" spans="2:15" ht="34.5" hidden="1" customHeight="1">
      <c r="D70" s="908"/>
      <c r="E70" s="559"/>
      <c r="F70" s="1284"/>
      <c r="G70" s="3563"/>
      <c r="H70" s="3568"/>
      <c r="I70" s="3592"/>
      <c r="J70" s="1303" t="s">
        <v>670</v>
      </c>
      <c r="K70" s="1304"/>
      <c r="L70" s="1304"/>
      <c r="M70" s="1304"/>
      <c r="N70" s="1305"/>
      <c r="O70" s="1316"/>
    </row>
    <row r="71" spans="2:15" ht="20.25" customHeight="1">
      <c r="D71" s="908"/>
      <c r="E71" s="559"/>
      <c r="F71" s="1284"/>
      <c r="G71" s="3562">
        <v>0</v>
      </c>
      <c r="H71" s="3564" t="s">
        <v>3406</v>
      </c>
      <c r="I71" s="3565"/>
      <c r="J71" s="3581" t="s">
        <v>671</v>
      </c>
      <c r="K71" s="3582"/>
      <c r="L71" s="3582"/>
      <c r="M71" s="3582"/>
      <c r="N71" s="3583"/>
      <c r="O71" s="3617">
        <v>1</v>
      </c>
    </row>
    <row r="72" spans="2:15" ht="55.5" customHeight="1">
      <c r="D72" s="908"/>
      <c r="E72" s="559"/>
      <c r="F72" s="1284"/>
      <c r="G72" s="3616"/>
      <c r="H72" s="3566"/>
      <c r="I72" s="3567"/>
      <c r="J72" s="3489" t="s">
        <v>1196</v>
      </c>
      <c r="K72" s="3585"/>
      <c r="L72" s="3585"/>
      <c r="M72" s="3585"/>
      <c r="N72" s="3615"/>
      <c r="O72" s="3618"/>
    </row>
    <row r="73" spans="2:15" ht="46.5" customHeight="1">
      <c r="D73" s="908"/>
      <c r="E73" s="559"/>
      <c r="F73" s="1284"/>
      <c r="G73" s="3563"/>
      <c r="H73" s="3568"/>
      <c r="I73" s="3569"/>
      <c r="J73" s="3475" t="s">
        <v>1197</v>
      </c>
      <c r="K73" s="3579"/>
      <c r="L73" s="3579"/>
      <c r="M73" s="3579"/>
      <c r="N73" s="3580"/>
      <c r="O73" s="3619"/>
    </row>
    <row r="74" spans="2:15" ht="23.25" customHeight="1">
      <c r="D74" s="908"/>
      <c r="E74" s="559"/>
      <c r="F74" s="1284"/>
      <c r="G74" s="3562">
        <v>0</v>
      </c>
      <c r="H74" s="3564" t="s">
        <v>2123</v>
      </c>
      <c r="I74" s="3565"/>
      <c r="J74" s="3581" t="s">
        <v>1198</v>
      </c>
      <c r="K74" s="3582"/>
      <c r="L74" s="3582"/>
      <c r="M74" s="3582"/>
      <c r="N74" s="3583"/>
      <c r="O74" s="3620">
        <v>1</v>
      </c>
    </row>
    <row r="75" spans="2:15" ht="48" customHeight="1">
      <c r="D75" s="908"/>
      <c r="E75" s="559"/>
      <c r="F75" s="1284"/>
      <c r="G75" s="3616"/>
      <c r="H75" s="3566"/>
      <c r="I75" s="3567"/>
      <c r="J75" s="3489" t="s">
        <v>1199</v>
      </c>
      <c r="K75" s="3585"/>
      <c r="L75" s="3585"/>
      <c r="M75" s="3585"/>
      <c r="N75" s="3615"/>
      <c r="O75" s="3621"/>
    </row>
    <row r="76" spans="2:15" ht="46.5" customHeight="1">
      <c r="D76" s="908"/>
      <c r="E76" s="559"/>
      <c r="F76" s="1284"/>
      <c r="G76" s="3616"/>
      <c r="H76" s="3566"/>
      <c r="I76" s="3567"/>
      <c r="J76" s="3489" t="s">
        <v>1200</v>
      </c>
      <c r="K76" s="3585"/>
      <c r="L76" s="3585"/>
      <c r="M76" s="3585"/>
      <c r="N76" s="3615"/>
      <c r="O76" s="3621"/>
    </row>
    <row r="77" spans="2:15" ht="45.75" customHeight="1">
      <c r="D77" s="908"/>
      <c r="E77" s="559"/>
      <c r="F77" s="1284"/>
      <c r="G77" s="3616"/>
      <c r="H77" s="3568"/>
      <c r="I77" s="3569"/>
      <c r="J77" s="3475" t="s">
        <v>1201</v>
      </c>
      <c r="K77" s="3579"/>
      <c r="L77" s="3579"/>
      <c r="M77" s="3579"/>
      <c r="N77" s="3580"/>
      <c r="O77" s="3622"/>
    </row>
    <row r="78" spans="2:15" ht="15.75" hidden="1" customHeight="1">
      <c r="B78" s="1114" t="s">
        <v>2124</v>
      </c>
      <c r="D78" s="908"/>
      <c r="E78" s="559"/>
      <c r="F78" s="1284"/>
      <c r="G78" s="2829">
        <v>0</v>
      </c>
      <c r="H78" s="3633" t="s">
        <v>2125</v>
      </c>
      <c r="I78" s="3634"/>
      <c r="J78" s="3385" t="s">
        <v>2126</v>
      </c>
      <c r="K78" s="3402"/>
      <c r="L78" s="3402"/>
      <c r="M78" s="3402"/>
      <c r="N78" s="3429"/>
      <c r="O78" s="1318">
        <v>1</v>
      </c>
    </row>
    <row r="79" spans="2:15" ht="44.25" customHeight="1">
      <c r="D79" s="908"/>
      <c r="E79" s="559"/>
      <c r="F79" s="1284"/>
      <c r="G79" s="3562">
        <v>0</v>
      </c>
      <c r="H79" s="3564" t="s">
        <v>2127</v>
      </c>
      <c r="I79" s="3565"/>
      <c r="J79" s="3581" t="s">
        <v>2693</v>
      </c>
      <c r="K79" s="3582"/>
      <c r="L79" s="3582"/>
      <c r="M79" s="3582"/>
      <c r="N79" s="3583"/>
      <c r="O79" s="1202">
        <v>1</v>
      </c>
    </row>
    <row r="80" spans="2:15" ht="45" customHeight="1">
      <c r="D80" s="908"/>
      <c r="E80" s="559"/>
      <c r="F80" s="1284"/>
      <c r="G80" s="3563"/>
      <c r="H80" s="3568"/>
      <c r="I80" s="3569"/>
      <c r="J80" s="3475" t="s">
        <v>2694</v>
      </c>
      <c r="K80" s="3579"/>
      <c r="L80" s="3579"/>
      <c r="M80" s="3579"/>
      <c r="N80" s="3580"/>
      <c r="O80" s="1319"/>
    </row>
    <row r="81" spans="2:15" ht="15.75" customHeight="1">
      <c r="D81" s="908"/>
      <c r="E81" s="559"/>
      <c r="F81" s="1284"/>
      <c r="G81" s="3562">
        <v>0</v>
      </c>
      <c r="H81" s="3566" t="s">
        <v>2695</v>
      </c>
      <c r="I81" s="3567"/>
      <c r="J81" s="3489" t="s">
        <v>2568</v>
      </c>
      <c r="K81" s="3585"/>
      <c r="L81" s="3585"/>
      <c r="M81" s="3585"/>
      <c r="N81" s="3615"/>
      <c r="O81" s="3570">
        <v>1</v>
      </c>
    </row>
    <row r="82" spans="2:15" ht="27" customHeight="1" thickBot="1">
      <c r="D82" s="908"/>
      <c r="E82" s="559"/>
      <c r="F82" s="1284"/>
      <c r="G82" s="3629"/>
      <c r="H82" s="3630"/>
      <c r="I82" s="3631"/>
      <c r="J82" s="3572"/>
      <c r="K82" s="3573"/>
      <c r="L82" s="3573"/>
      <c r="M82" s="3573"/>
      <c r="N82" s="3574"/>
      <c r="O82" s="3571"/>
    </row>
    <row r="83" spans="2:15" ht="29.25" customHeight="1">
      <c r="D83" s="908"/>
      <c r="E83" s="559"/>
      <c r="F83" s="1284"/>
      <c r="G83" s="2768" t="s">
        <v>1309</v>
      </c>
      <c r="H83" s="1209">
        <f>SUM(G64:G82)</f>
        <v>3</v>
      </c>
      <c r="I83" s="2826" t="s">
        <v>3342</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2569</v>
      </c>
      <c r="F85" s="916"/>
      <c r="G85" s="909"/>
      <c r="H85" s="909"/>
      <c r="I85" s="909"/>
      <c r="J85" s="1287"/>
      <c r="K85" s="909"/>
      <c r="L85" s="909"/>
      <c r="M85" s="909"/>
      <c r="N85" s="909"/>
      <c r="O85" s="909"/>
    </row>
    <row r="86" spans="2:15" ht="14.25" thickBot="1">
      <c r="D86" s="913"/>
      <c r="E86" s="559"/>
      <c r="F86" s="923"/>
      <c r="G86" s="924"/>
      <c r="H86" s="924"/>
      <c r="I86" s="1039" t="s">
        <v>1364</v>
      </c>
      <c r="J86" s="2835">
        <f>重み!M119</f>
        <v>0.5</v>
      </c>
      <c r="K86" s="925"/>
      <c r="L86" s="925"/>
      <c r="M86" s="925"/>
      <c r="N86" s="925"/>
      <c r="O86" s="1030"/>
    </row>
    <row r="87" spans="2:15" ht="27" customHeight="1" thickBot="1">
      <c r="D87" s="908"/>
      <c r="E87" s="918"/>
      <c r="F87" s="2056">
        <f>IF(H93=T4,F93,ROUND(IF(H111=0,1,IF(H111&lt;=5,2,IF(H111&lt;=11,3,IF(H111&lt;=17,4,IF(H111&gt;=18,5))))),0))</f>
        <v>3</v>
      </c>
      <c r="G87" s="1132" t="s">
        <v>502</v>
      </c>
      <c r="H87" s="1052"/>
      <c r="I87" s="1052"/>
      <c r="J87" s="1052"/>
      <c r="K87" s="1052"/>
      <c r="L87" s="1052"/>
      <c r="M87" s="1052"/>
      <c r="N87" s="1052"/>
      <c r="O87" s="1053"/>
    </row>
    <row r="88" spans="2:15" ht="21" customHeight="1">
      <c r="B88" s="1">
        <v>1</v>
      </c>
      <c r="D88" s="908"/>
      <c r="E88" s="918"/>
      <c r="F88" s="937" t="str">
        <f>IF(ROUNDDOWN($F$87,0)=$S$10,$U$10,$T$10)</f>
        <v>　レベル　1</v>
      </c>
      <c r="G88" s="3381" t="s">
        <v>2128</v>
      </c>
      <c r="H88" s="3401"/>
      <c r="I88" s="3401"/>
      <c r="J88" s="3401"/>
      <c r="K88" s="3401"/>
      <c r="L88" s="3401"/>
      <c r="M88" s="3401"/>
      <c r="N88" s="3401"/>
      <c r="O88" s="3387"/>
    </row>
    <row r="89" spans="2:15" ht="21" customHeight="1">
      <c r="B89" s="1">
        <v>2</v>
      </c>
      <c r="D89" s="908"/>
      <c r="E89" s="918"/>
      <c r="F89" s="942" t="str">
        <f>IF(ROUNDDOWN($F$87,0)=$S$11,$U$11,$T$11)</f>
        <v>　レベル　2</v>
      </c>
      <c r="G89" s="3385" t="s">
        <v>2129</v>
      </c>
      <c r="H89" s="3402"/>
      <c r="I89" s="3402"/>
      <c r="J89" s="3402"/>
      <c r="K89" s="3402"/>
      <c r="L89" s="3402"/>
      <c r="M89" s="3402"/>
      <c r="N89" s="3402"/>
      <c r="O89" s="3429"/>
    </row>
    <row r="90" spans="2:15" ht="21" customHeight="1">
      <c r="B90" s="1">
        <v>3</v>
      </c>
      <c r="D90" s="908"/>
      <c r="E90" s="918"/>
      <c r="F90" s="942" t="str">
        <f>IF(ROUNDDOWN($F$87,0)=$S$12,$U$12,$T$12)</f>
        <v>■レベル　3</v>
      </c>
      <c r="G90" s="3385" t="s">
        <v>2130</v>
      </c>
      <c r="H90" s="3402"/>
      <c r="I90" s="3402"/>
      <c r="J90" s="3402"/>
      <c r="K90" s="3402"/>
      <c r="L90" s="3402"/>
      <c r="M90" s="3402"/>
      <c r="N90" s="3402"/>
      <c r="O90" s="3429"/>
    </row>
    <row r="91" spans="2:15" ht="21" customHeight="1">
      <c r="B91" s="1">
        <v>4</v>
      </c>
      <c r="D91" s="908"/>
      <c r="E91" s="918"/>
      <c r="F91" s="942" t="str">
        <f>IF(ROUNDDOWN($F$87,0)=$S$13,$U$13,$T$13)</f>
        <v>　レベル　4</v>
      </c>
      <c r="G91" s="3385" t="s">
        <v>2131</v>
      </c>
      <c r="H91" s="3402"/>
      <c r="I91" s="3402"/>
      <c r="J91" s="3402"/>
      <c r="K91" s="3402"/>
      <c r="L91" s="3402"/>
      <c r="M91" s="3402"/>
      <c r="N91" s="3402"/>
      <c r="O91" s="3429"/>
    </row>
    <row r="92" spans="2:15" ht="21" customHeight="1">
      <c r="B92" s="1">
        <v>5</v>
      </c>
      <c r="D92" s="908"/>
      <c r="E92" s="918"/>
      <c r="F92" s="953" t="str">
        <f>IF(ROUNDDOWN($F$87,0)=$S$14,$U$14,$T$14)</f>
        <v>　レベル　5</v>
      </c>
      <c r="G92" s="3383" t="s">
        <v>1327</v>
      </c>
      <c r="H92" s="3407"/>
      <c r="I92" s="3407"/>
      <c r="J92" s="3407"/>
      <c r="K92" s="3407"/>
      <c r="L92" s="3407"/>
      <c r="M92" s="3407"/>
      <c r="N92" s="3407"/>
      <c r="O92" s="3413"/>
    </row>
    <row r="93" spans="2:15" s="2687" customFormat="1" ht="16.5" hidden="1" customHeight="1" thickBot="1">
      <c r="B93" s="960">
        <v>0</v>
      </c>
      <c r="D93" s="908"/>
      <c r="E93" s="918"/>
      <c r="F93" s="930">
        <v>0</v>
      </c>
      <c r="G93" s="1158" t="s">
        <v>2666</v>
      </c>
      <c r="H93" s="1015" t="s">
        <v>3339</v>
      </c>
      <c r="I93"/>
      <c r="J93"/>
      <c r="K93"/>
      <c r="L93"/>
      <c r="M93"/>
      <c r="N93"/>
      <c r="O93"/>
    </row>
    <row r="94" spans="2:15">
      <c r="D94" s="913"/>
      <c r="E94" s="559"/>
      <c r="F94" s="559"/>
      <c r="G94" s="1295" t="s">
        <v>422</v>
      </c>
      <c r="H94" s="559"/>
      <c r="I94"/>
      <c r="J94"/>
      <c r="K94"/>
      <c r="L94"/>
      <c r="M94"/>
      <c r="N94"/>
      <c r="O94"/>
    </row>
    <row r="95" spans="2:15" ht="25.5" customHeight="1" thickBot="1">
      <c r="D95" s="908"/>
      <c r="E95" s="559"/>
      <c r="F95" s="1284"/>
      <c r="G95" s="1297" t="s">
        <v>234</v>
      </c>
      <c r="H95" s="3576" t="s">
        <v>1755</v>
      </c>
      <c r="I95" s="3577"/>
      <c r="J95" s="3576" t="s">
        <v>1748</v>
      </c>
      <c r="K95" s="3577"/>
      <c r="L95" s="3577"/>
      <c r="M95" s="3577"/>
      <c r="N95" s="3578"/>
      <c r="O95" s="1196" t="s">
        <v>1756</v>
      </c>
    </row>
    <row r="96" spans="2:15" ht="36" customHeight="1">
      <c r="G96" s="2832">
        <v>2</v>
      </c>
      <c r="H96" s="3564" t="s">
        <v>2570</v>
      </c>
      <c r="I96" s="3565"/>
      <c r="J96" s="3381" t="s">
        <v>3353</v>
      </c>
      <c r="K96" s="3401"/>
      <c r="L96" s="3401"/>
      <c r="M96" s="3401"/>
      <c r="N96" s="3387"/>
      <c r="O96" s="1315">
        <v>2</v>
      </c>
    </row>
    <row r="97" spans="4:15" ht="30.75" customHeight="1">
      <c r="G97" s="3562">
        <v>3</v>
      </c>
      <c r="H97" s="3566"/>
      <c r="I97" s="3567"/>
      <c r="J97" s="3581" t="s">
        <v>3354</v>
      </c>
      <c r="K97" s="3582"/>
      <c r="L97" s="3582"/>
      <c r="M97" s="3582"/>
      <c r="N97" s="3583"/>
      <c r="O97" s="3575" t="s">
        <v>236</v>
      </c>
    </row>
    <row r="98" spans="4:15" ht="57.75" customHeight="1">
      <c r="G98" s="3563"/>
      <c r="H98" s="3566"/>
      <c r="I98" s="3567"/>
      <c r="J98" s="3475" t="s">
        <v>2095</v>
      </c>
      <c r="K98" s="3579"/>
      <c r="L98" s="3579"/>
      <c r="M98" s="3579"/>
      <c r="N98" s="3580"/>
      <c r="O98" s="3575"/>
    </row>
    <row r="99" spans="4:15" ht="28.5" customHeight="1">
      <c r="G99" s="3562">
        <v>1</v>
      </c>
      <c r="H99" s="3564" t="s">
        <v>2096</v>
      </c>
      <c r="I99" s="3565"/>
      <c r="J99" s="3581" t="s">
        <v>3355</v>
      </c>
      <c r="K99" s="3582"/>
      <c r="L99" s="3582"/>
      <c r="M99" s="3582"/>
      <c r="N99" s="3583"/>
      <c r="O99" s="3575" t="s">
        <v>236</v>
      </c>
    </row>
    <row r="100" spans="4:15" ht="57.75" customHeight="1">
      <c r="G100" s="3563"/>
      <c r="H100" s="3568"/>
      <c r="I100" s="3569"/>
      <c r="J100" s="3475" t="s">
        <v>2097</v>
      </c>
      <c r="K100" s="3579"/>
      <c r="L100" s="3579"/>
      <c r="M100" s="3579"/>
      <c r="N100" s="3580"/>
      <c r="O100" s="3575"/>
    </row>
    <row r="101" spans="4:15" ht="30.75" customHeight="1">
      <c r="G101" s="3562">
        <v>0</v>
      </c>
      <c r="H101" s="3564" t="s">
        <v>2098</v>
      </c>
      <c r="I101" s="3565"/>
      <c r="J101" s="3581" t="s">
        <v>3356</v>
      </c>
      <c r="K101" s="3582"/>
      <c r="L101" s="3582"/>
      <c r="M101" s="3582"/>
      <c r="N101" s="3583"/>
      <c r="O101" s="3575" t="s">
        <v>236</v>
      </c>
    </row>
    <row r="102" spans="4:15" ht="57.75" customHeight="1">
      <c r="G102" s="3563"/>
      <c r="H102" s="3566"/>
      <c r="I102" s="3567"/>
      <c r="J102" s="3475" t="s">
        <v>1205</v>
      </c>
      <c r="K102" s="3579"/>
      <c r="L102" s="3579"/>
      <c r="M102" s="3579"/>
      <c r="N102" s="3580"/>
      <c r="O102" s="3575"/>
    </row>
    <row r="103" spans="4:15" ht="19.5" customHeight="1">
      <c r="G103" s="3562">
        <v>0</v>
      </c>
      <c r="H103" s="3566"/>
      <c r="I103" s="3567"/>
      <c r="J103" s="3581" t="s">
        <v>3357</v>
      </c>
      <c r="K103" s="3582"/>
      <c r="L103" s="3582"/>
      <c r="M103" s="3582"/>
      <c r="N103" s="3583"/>
      <c r="O103" s="3575" t="s">
        <v>236</v>
      </c>
    </row>
    <row r="104" spans="4:15" ht="57.75" customHeight="1">
      <c r="G104" s="3563"/>
      <c r="H104" s="3568"/>
      <c r="I104" s="3569"/>
      <c r="J104" s="3475" t="s">
        <v>2099</v>
      </c>
      <c r="K104" s="3579"/>
      <c r="L104" s="3579"/>
      <c r="M104" s="3579"/>
      <c r="N104" s="3580"/>
      <c r="O104" s="3575"/>
    </row>
    <row r="105" spans="4:15" ht="15.75" customHeight="1">
      <c r="G105" s="3562">
        <v>0</v>
      </c>
      <c r="H105" s="3564" t="s">
        <v>2100</v>
      </c>
      <c r="I105" s="3565"/>
      <c r="J105" s="3581" t="s">
        <v>3358</v>
      </c>
      <c r="K105" s="3582"/>
      <c r="L105" s="3582"/>
      <c r="M105" s="3582"/>
      <c r="N105" s="3583"/>
      <c r="O105" s="3575" t="s">
        <v>1328</v>
      </c>
    </row>
    <row r="106" spans="4:15" ht="33.75" customHeight="1">
      <c r="G106" s="3563"/>
      <c r="H106" s="3566"/>
      <c r="I106" s="3567"/>
      <c r="J106" s="3475" t="s">
        <v>2136</v>
      </c>
      <c r="K106" s="3579"/>
      <c r="L106" s="3579"/>
      <c r="M106" s="3579"/>
      <c r="N106" s="3580"/>
      <c r="O106" s="3575"/>
    </row>
    <row r="107" spans="4:15" ht="15.75" customHeight="1">
      <c r="G107" s="3562">
        <v>0</v>
      </c>
      <c r="H107" s="3566"/>
      <c r="I107" s="3567"/>
      <c r="J107" s="3581" t="s">
        <v>3359</v>
      </c>
      <c r="K107" s="3582"/>
      <c r="L107" s="3582"/>
      <c r="M107" s="3582"/>
      <c r="N107" s="3583"/>
      <c r="O107" s="3575" t="s">
        <v>236</v>
      </c>
    </row>
    <row r="108" spans="4:15" ht="49.5" customHeight="1">
      <c r="G108" s="3563"/>
      <c r="H108" s="3568"/>
      <c r="I108" s="3569"/>
      <c r="J108" s="3475" t="s">
        <v>986</v>
      </c>
      <c r="K108" s="3579"/>
      <c r="L108" s="3579"/>
      <c r="M108" s="3579"/>
      <c r="N108" s="3580"/>
      <c r="O108" s="3575"/>
    </row>
    <row r="109" spans="4:15" ht="82.5" customHeight="1">
      <c r="G109" s="2828">
        <v>0</v>
      </c>
      <c r="H109" s="3564" t="s">
        <v>987</v>
      </c>
      <c r="I109" s="3565"/>
      <c r="J109" s="3385" t="s">
        <v>3360</v>
      </c>
      <c r="K109" s="3402"/>
      <c r="L109" s="3402"/>
      <c r="M109" s="3402"/>
      <c r="N109" s="3429"/>
      <c r="O109" s="1320" t="s">
        <v>2505</v>
      </c>
    </row>
    <row r="110" spans="4:15" ht="87" customHeight="1" thickBot="1">
      <c r="G110" s="2830">
        <v>0</v>
      </c>
      <c r="H110" s="3568"/>
      <c r="I110" s="3569"/>
      <c r="J110" s="3475" t="s">
        <v>3361</v>
      </c>
      <c r="K110" s="3579"/>
      <c r="L110" s="3579"/>
      <c r="M110" s="3579"/>
      <c r="N110" s="3580"/>
      <c r="O110" s="1321" t="s">
        <v>2505</v>
      </c>
    </row>
    <row r="111" spans="4:15" ht="21" customHeight="1">
      <c r="D111" s="908"/>
      <c r="E111" s="1284"/>
      <c r="F111" s="1285"/>
      <c r="G111" s="2768" t="s">
        <v>141</v>
      </c>
      <c r="H111" s="1209">
        <f>SUM(G96:G110)</f>
        <v>6</v>
      </c>
      <c r="I111" s="2826" t="s">
        <v>3342</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algorithmName="SHA-512" hashValue="uAArRsHJrgydqMYw22TUiYUufvkOcHDqxpj5z7thEFVcF7TljrLq799Kt/pfUBZWrNZGLKv4wOEz6uKaRJsL/w==" saltValue="Xk7NWFiIfHkDd+LzHKsUgA==" spinCount="100000"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58" priority="166" stopIfTrue="1">
      <formula>$J$6&gt;0</formula>
    </cfRule>
  </conditionalFormatting>
  <conditionalFormatting sqref="F40 F93">
    <cfRule type="expression" dxfId="157" priority="167" stopIfTrue="1">
      <formula>AND(OR(F40&lt;1,F40&gt;5),F40&lt;&gt;0)</formula>
    </cfRule>
    <cfRule type="expression" dxfId="156" priority="168" stopIfTrue="1">
      <formula>AND($J33&gt;0,$H40=$T$4)</formula>
    </cfRule>
  </conditionalFormatting>
  <conditionalFormatting sqref="H40">
    <cfRule type="expression" dxfId="155" priority="8">
      <formula>$J33&gt;0</formula>
    </cfRule>
  </conditionalFormatting>
  <conditionalFormatting sqref="H93">
    <cfRule type="expression" dxfId="154" priority="7">
      <formula>$J86&gt;0</formula>
    </cfRule>
  </conditionalFormatting>
  <conditionalFormatting sqref="G44:G50">
    <cfRule type="expression" dxfId="153" priority="6">
      <formula>AND($J$33&gt;0,$H$40=$T$3)</formula>
    </cfRule>
  </conditionalFormatting>
  <conditionalFormatting sqref="J50:N50">
    <cfRule type="expression" dxfId="152" priority="5">
      <formula>$G49&gt;0</formula>
    </cfRule>
  </conditionalFormatting>
  <conditionalFormatting sqref="J82:N82">
    <cfRule type="expression" dxfId="151" priority="4">
      <formula>$G81&gt;0</formula>
    </cfRule>
  </conditionalFormatting>
  <conditionalFormatting sqref="G64:G82">
    <cfRule type="expression" dxfId="150" priority="3">
      <formula>$J$55&gt;0</formula>
    </cfRule>
  </conditionalFormatting>
  <conditionalFormatting sqref="G96:G110">
    <cfRule type="expression" dxfId="149" priority="2">
      <formula>AND($J$86&gt;0,$H$93=$T$3)</formula>
    </cfRule>
  </conditionalFormatting>
  <conditionalFormatting sqref="J29:N29">
    <cfRule type="expression" dxfId="14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C6" sqref="C6"/>
    </sheetView>
  </sheetViews>
  <sheetFormatPr defaultColWidth="0" defaultRowHeight="13.5" zeroHeight="1"/>
  <cols>
    <col min="1" max="1" width="2.75" customWidth="1"/>
    <col min="2" max="3" width="4.375" hidden="1" customWidth="1"/>
    <col min="4" max="4" width="4.375" style="2284" customWidth="1"/>
    <col min="5" max="5" width="1.75" style="2014" customWidth="1"/>
    <col min="6" max="15" width="10.625" style="201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22"/>
      <c r="E1" s="1323"/>
      <c r="F1" s="1323"/>
      <c r="G1" s="1323"/>
      <c r="H1" s="1323"/>
      <c r="I1" s="1323"/>
      <c r="J1" s="1324"/>
      <c r="K1" s="1324"/>
      <c r="L1" s="1324"/>
      <c r="M1" s="905" t="s">
        <v>2697</v>
      </c>
      <c r="N1" s="906" t="str">
        <f>メイン!C11</f>
        <v>○○ビル</v>
      </c>
      <c r="O1" s="907"/>
      <c r="R1" t="s">
        <v>1335</v>
      </c>
    </row>
    <row r="2" spans="2:21" ht="8.25" customHeight="1" thickBot="1">
      <c r="D2" s="908"/>
      <c r="E2" s="559"/>
      <c r="F2" s="559"/>
      <c r="G2" s="559"/>
      <c r="H2" s="559"/>
      <c r="I2" s="559"/>
      <c r="J2" s="909"/>
      <c r="K2" s="909"/>
      <c r="L2" s="909"/>
      <c r="M2" s="909"/>
      <c r="N2" s="909"/>
      <c r="O2" s="909"/>
    </row>
    <row r="3" spans="2:21" ht="18.75" thickBot="1">
      <c r="D3" s="1388" t="s">
        <v>2217</v>
      </c>
      <c r="E3" s="559"/>
      <c r="F3" s="559"/>
      <c r="G3" s="559"/>
      <c r="H3" s="911"/>
      <c r="I3" s="912" t="s">
        <v>2576</v>
      </c>
      <c r="J3" s="1324"/>
      <c r="K3" s="1324"/>
      <c r="L3" s="909"/>
      <c r="M3" s="909"/>
      <c r="N3" s="909"/>
      <c r="O3" s="1325" t="str">
        <f>IF(メイン!E39=0,"",メイン!E39)</f>
        <v/>
      </c>
      <c r="R3" t="s">
        <v>1361</v>
      </c>
      <c r="S3" t="s">
        <v>1964</v>
      </c>
      <c r="T3" t="s">
        <v>3367</v>
      </c>
      <c r="U3" t="str">
        <f>メイン!I37</f>
        <v>基本設計段階</v>
      </c>
    </row>
    <row r="4" spans="2:21" ht="6" customHeight="1">
      <c r="D4" s="908"/>
      <c r="E4" s="559"/>
      <c r="F4" s="559"/>
      <c r="G4" s="559"/>
      <c r="H4" s="559"/>
      <c r="I4" s="559"/>
      <c r="J4" s="909"/>
      <c r="K4" s="909"/>
      <c r="L4" s="909"/>
      <c r="M4" s="913"/>
      <c r="N4" s="909"/>
      <c r="O4" s="909"/>
      <c r="T4" t="s">
        <v>3343</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6">
        <v>1</v>
      </c>
      <c r="E6" s="1143" t="s">
        <v>2182</v>
      </c>
      <c r="F6" s="1143"/>
      <c r="G6" s="573"/>
      <c r="H6" s="573"/>
      <c r="I6" s="573"/>
      <c r="J6" s="999" t="str">
        <f>IF(OR(F16=0,AND(K16=0,O16=0)),$R$3,"")</f>
        <v>&lt;評価しない&gt;</v>
      </c>
      <c r="K6" s="909"/>
      <c r="L6" s="913"/>
      <c r="M6" s="913"/>
      <c r="N6" s="909"/>
      <c r="O6" s="909"/>
    </row>
    <row r="7" spans="2:21" ht="14.25" hidden="1">
      <c r="B7" t="s">
        <v>1329</v>
      </c>
      <c r="D7" s="2282"/>
      <c r="E7" s="1327"/>
      <c r="F7" s="1065"/>
      <c r="G7" s="924"/>
      <c r="H7" s="925"/>
      <c r="I7" s="926" t="s">
        <v>1364</v>
      </c>
      <c r="J7" s="927">
        <f>重み!M113</f>
        <v>0.3</v>
      </c>
      <c r="K7" s="1066"/>
      <c r="L7" s="1066"/>
      <c r="M7" s="1066"/>
      <c r="N7" s="1066"/>
      <c r="O7" s="1068"/>
    </row>
    <row r="8" spans="2:21" ht="15" hidden="1" thickBot="1">
      <c r="B8" s="1210">
        <v>0</v>
      </c>
      <c r="D8" s="2282"/>
      <c r="E8" s="1327"/>
      <c r="F8" s="930">
        <v>3</v>
      </c>
      <c r="G8" s="935" t="s">
        <v>1969</v>
      </c>
      <c r="H8" s="935"/>
      <c r="I8" s="935"/>
      <c r="J8" s="935"/>
      <c r="K8" s="935"/>
      <c r="L8" s="935"/>
      <c r="M8" s="1046"/>
      <c r="N8" s="1328"/>
      <c r="O8" s="936"/>
    </row>
    <row r="9" spans="2:21" ht="14.25" hidden="1">
      <c r="B9" s="1" t="s">
        <v>988</v>
      </c>
      <c r="C9" s="1">
        <v>1</v>
      </c>
      <c r="D9" s="2282"/>
      <c r="E9" s="1327"/>
      <c r="F9" s="1329"/>
      <c r="G9" s="1330" t="s">
        <v>1330</v>
      </c>
      <c r="H9" s="1330"/>
      <c r="I9" s="3653" t="s">
        <v>310</v>
      </c>
      <c r="J9" s="3654"/>
      <c r="K9" s="3653" t="s">
        <v>312</v>
      </c>
      <c r="L9" s="3654"/>
      <c r="M9" s="1331"/>
      <c r="N9" s="1332"/>
      <c r="O9" s="1294"/>
    </row>
    <row r="10" spans="2:21" ht="14.25" hidden="1">
      <c r="B10" s="1">
        <v>2</v>
      </c>
      <c r="C10" s="1">
        <v>3</v>
      </c>
      <c r="D10" s="2282"/>
      <c r="E10" s="1327"/>
      <c r="F10" s="1333" t="str">
        <f>IF(F8=$S$15,$T$10,IF(ROUNDDOWN(F8,0)=$S$10,$U$10,$T$10))</f>
        <v>　レベル　1</v>
      </c>
      <c r="G10" s="946" t="s">
        <v>2178</v>
      </c>
      <c r="H10" s="940"/>
      <c r="I10" s="946" t="s">
        <v>2178</v>
      </c>
      <c r="J10" s="940"/>
      <c r="K10" s="946" t="s">
        <v>2178</v>
      </c>
      <c r="L10" s="940"/>
      <c r="M10" s="3381"/>
      <c r="N10" s="3655"/>
      <c r="O10" s="3656"/>
      <c r="S10">
        <v>1</v>
      </c>
      <c r="T10" t="s">
        <v>2516</v>
      </c>
      <c r="U10" t="s">
        <v>1689</v>
      </c>
    </row>
    <row r="11" spans="2:21" ht="14.25" hidden="1">
      <c r="B11" s="1">
        <v>3</v>
      </c>
      <c r="C11" s="1">
        <v>3</v>
      </c>
      <c r="D11" s="2282"/>
      <c r="E11" s="1327"/>
      <c r="F11" s="1334" t="str">
        <f>IF(F8=$S$15,$T$11,IF(ROUNDDOWN(F8,0)=$S$11,$U$11,$T$11))</f>
        <v>　レベル　2</v>
      </c>
      <c r="G11" s="946" t="s">
        <v>2218</v>
      </c>
      <c r="H11" s="947"/>
      <c r="I11" s="946" t="s">
        <v>2218</v>
      </c>
      <c r="J11" s="947"/>
      <c r="K11" s="946" t="s">
        <v>2218</v>
      </c>
      <c r="L11" s="947"/>
      <c r="M11" s="3385"/>
      <c r="N11" s="3657"/>
      <c r="O11" s="3658"/>
      <c r="S11">
        <v>2</v>
      </c>
      <c r="T11" t="s">
        <v>1336</v>
      </c>
      <c r="U11" t="s">
        <v>1337</v>
      </c>
    </row>
    <row r="12" spans="2:21" ht="14.25" hidden="1">
      <c r="B12" s="1">
        <v>4</v>
      </c>
      <c r="C12" s="1">
        <v>4</v>
      </c>
      <c r="D12" s="2282"/>
      <c r="E12" s="1327"/>
      <c r="F12" s="1334" t="str">
        <f>IF(F8=$S$15,$T$12,IF(ROUNDDOWN(F8,0)=$S$12,$U$12,$T$12))</f>
        <v>■レベル　3</v>
      </c>
      <c r="G12" s="3385" t="s">
        <v>1331</v>
      </c>
      <c r="H12" s="3650"/>
      <c r="I12" s="3385" t="s">
        <v>1332</v>
      </c>
      <c r="J12" s="3650"/>
      <c r="K12" s="3385" t="s">
        <v>337</v>
      </c>
      <c r="L12" s="3650"/>
      <c r="M12" s="3385"/>
      <c r="N12" s="3657"/>
      <c r="O12" s="3658"/>
      <c r="S12">
        <v>3</v>
      </c>
      <c r="T12" t="s">
        <v>1342</v>
      </c>
      <c r="U12" t="s">
        <v>1343</v>
      </c>
    </row>
    <row r="13" spans="2:21" ht="14.25" hidden="1">
      <c r="B13" s="1">
        <v>5</v>
      </c>
      <c r="C13" s="1">
        <v>5</v>
      </c>
      <c r="D13" s="2282"/>
      <c r="E13" s="1327"/>
      <c r="F13" s="1334" t="str">
        <f>IF(F8=$S$15,$T$13,IF(ROUNDDOWN(F8,0)=$S$13,$U$13,$T$13))</f>
        <v>　レベル　4</v>
      </c>
      <c r="G13" s="3385" t="s">
        <v>338</v>
      </c>
      <c r="H13" s="3650"/>
      <c r="I13" s="3385" t="s">
        <v>1042</v>
      </c>
      <c r="J13" s="3650"/>
      <c r="K13" s="3385" t="s">
        <v>1043</v>
      </c>
      <c r="L13" s="3650"/>
      <c r="M13" s="3385"/>
      <c r="N13" s="3402"/>
      <c r="O13" s="3429"/>
      <c r="S13">
        <v>4</v>
      </c>
      <c r="T13" t="s">
        <v>1221</v>
      </c>
      <c r="U13" t="s">
        <v>1222</v>
      </c>
    </row>
    <row r="14" spans="2:21" ht="14.25" hidden="1">
      <c r="B14" s="960">
        <v>0</v>
      </c>
      <c r="C14" s="960">
        <v>0</v>
      </c>
      <c r="D14" s="2282"/>
      <c r="E14" s="1327"/>
      <c r="F14" s="1335" t="str">
        <f>IF(F8=$S$15,$T$14,IF(ROUNDDOWN(F8,0)=$S$14,$U$14,$T$14))</f>
        <v>　レベル　5</v>
      </c>
      <c r="G14" s="3385" t="s">
        <v>1044</v>
      </c>
      <c r="H14" s="3650"/>
      <c r="I14" s="3385" t="s">
        <v>1044</v>
      </c>
      <c r="J14" s="3650"/>
      <c r="K14" s="3385" t="s">
        <v>1045</v>
      </c>
      <c r="L14" s="3650"/>
      <c r="M14" s="3383"/>
      <c r="N14" s="3659"/>
      <c r="O14" s="3660"/>
      <c r="S14">
        <v>5</v>
      </c>
      <c r="T14" t="s">
        <v>1228</v>
      </c>
      <c r="U14" t="s">
        <v>1229</v>
      </c>
    </row>
    <row r="15" spans="2:21" ht="15.75" customHeight="1">
      <c r="D15" s="2282"/>
      <c r="E15" s="1327"/>
      <c r="F15" s="2129" t="s">
        <v>2582</v>
      </c>
      <c r="G15" s="1065"/>
      <c r="H15" s="925"/>
      <c r="I15" s="926" t="s">
        <v>1364</v>
      </c>
      <c r="J15" s="927">
        <f>重み!M123</f>
        <v>0.2</v>
      </c>
      <c r="K15" s="1066"/>
      <c r="L15" s="1066"/>
      <c r="M15" s="2484"/>
      <c r="N15" s="2485"/>
      <c r="O15" s="2489"/>
      <c r="S15">
        <v>0</v>
      </c>
      <c r="T15" t="s">
        <v>1690</v>
      </c>
      <c r="U15" t="s">
        <v>1690</v>
      </c>
    </row>
    <row r="16" spans="2:21" ht="15">
      <c r="D16" s="2283"/>
      <c r="E16" s="1323"/>
      <c r="F16" s="3635">
        <f>IF(H23=$T$4,F23,ROUNDDOWN(計画書!H18,1))</f>
        <v>0</v>
      </c>
      <c r="G16" s="3635">
        <f>計画書!J15</f>
        <v>3.0000000000000018</v>
      </c>
      <c r="H16" s="935" t="s">
        <v>2567</v>
      </c>
      <c r="I16" s="935"/>
      <c r="J16" s="935"/>
      <c r="K16" s="1164">
        <f>計画書!G15</f>
        <v>0</v>
      </c>
      <c r="L16" s="3651">
        <f>計画書!J16</f>
        <v>3</v>
      </c>
      <c r="M16" s="2486"/>
      <c r="N16" s="2487"/>
      <c r="O16" s="2488">
        <f>メイン!C64</f>
        <v>0</v>
      </c>
    </row>
    <row r="17" spans="2:256" ht="15.75" customHeight="1">
      <c r="D17" s="2283"/>
      <c r="E17" s="1323"/>
      <c r="F17" s="3636"/>
      <c r="G17" s="3636"/>
      <c r="H17" s="1339" t="s">
        <v>2489</v>
      </c>
      <c r="I17" s="1339"/>
      <c r="J17" s="1046" t="s">
        <v>78</v>
      </c>
      <c r="K17" s="936"/>
      <c r="L17" s="3652"/>
      <c r="M17" s="2490" t="s">
        <v>1905</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644" t="s">
        <v>3182</v>
      </c>
      <c r="I18" s="3645"/>
      <c r="J18" s="3644" t="s">
        <v>3183</v>
      </c>
      <c r="K18" s="3645"/>
      <c r="L18" s="1333" t="str">
        <f>IF(L16=$S$15,$T$10,IF(ROUNDDOWN(L16,0)=$S$10,$U$10,$T$10))</f>
        <v>　レベル　1</v>
      </c>
      <c r="M18" s="3475" t="s">
        <v>3385</v>
      </c>
      <c r="N18" s="3579"/>
      <c r="O18" s="3580"/>
    </row>
    <row r="19" spans="2:256" ht="27" customHeight="1">
      <c r="B19" s="1">
        <v>2</v>
      </c>
      <c r="C19" s="1">
        <v>2</v>
      </c>
      <c r="D19" s="2283"/>
      <c r="E19" s="1323"/>
      <c r="F19" s="1334" t="str">
        <f>IF(F16=$S$15,$T$11,IF(ROUNDDOWN(F16,0)=$S$11,$U$11,$T$11))</f>
        <v>　レベル　2</v>
      </c>
      <c r="G19" s="1334" t="str">
        <f>IF(G16=$S$15,$T$11,IF(ROUNDDOWN(G16,0)=$S$11,$U$11,$T$11))</f>
        <v>　レベル　2</v>
      </c>
      <c r="H19" s="3646"/>
      <c r="I19" s="3647"/>
      <c r="J19" s="3646"/>
      <c r="K19" s="3647"/>
      <c r="L19" s="1334" t="str">
        <f>IF(L16=$S$15,$T$11,IF(ROUNDDOWN(L16,0)=$S$11,$U$11,$T$11))</f>
        <v>　レベル　2</v>
      </c>
      <c r="M19" s="3385" t="s">
        <v>3386</v>
      </c>
      <c r="N19" s="3551"/>
      <c r="O19" s="3552"/>
    </row>
    <row r="20" spans="2:256" ht="27" customHeight="1">
      <c r="B20" s="1">
        <v>3</v>
      </c>
      <c r="C20" s="1">
        <v>3</v>
      </c>
      <c r="D20" s="2283"/>
      <c r="E20" s="1323"/>
      <c r="F20" s="2770" t="str">
        <f>IF(F16=$S$15,$T$12,IF(ROUNDDOWN(F16,0)=$S$12,$U$12,$T$12))</f>
        <v>　レベル　3</v>
      </c>
      <c r="G20" s="1334" t="str">
        <f>IF(G16=$S$15,$T$12,IF(ROUNDDOWN(G16,0)=$S$12,$U$12,$T$12))</f>
        <v>■レベル　3</v>
      </c>
      <c r="H20" s="3646"/>
      <c r="I20" s="3647"/>
      <c r="J20" s="3646"/>
      <c r="K20" s="3647"/>
      <c r="L20" s="1334" t="str">
        <f>IF(L16=$S$15,$T$12,IF(ROUNDDOWN(L16,0)=$S$12,$U$12,$T$12))</f>
        <v>■レベル　3</v>
      </c>
      <c r="M20" s="3385" t="s">
        <v>3387</v>
      </c>
      <c r="N20" s="3402"/>
      <c r="O20" s="3429"/>
    </row>
    <row r="21" spans="2:256" ht="27" customHeight="1">
      <c r="B21" s="1">
        <v>4</v>
      </c>
      <c r="C21" s="1">
        <v>4</v>
      </c>
      <c r="D21" s="908"/>
      <c r="E21" s="1042"/>
      <c r="F21" s="1334" t="str">
        <f>IF(F16=$S$15,$T$13,IF(ROUNDDOWN(F16,0)=$S$13,$U$13,$T$13))</f>
        <v>　レベル　4</v>
      </c>
      <c r="G21" s="1334" t="str">
        <f>IF(G16=$S$15,$T$13,IF(ROUNDDOWN(G16,0)=$S$13,$U$13,$T$13))</f>
        <v>　レベル　4</v>
      </c>
      <c r="H21" s="3646"/>
      <c r="I21" s="3647"/>
      <c r="J21" s="3646"/>
      <c r="K21" s="3647"/>
      <c r="L21" s="1334" t="str">
        <f>IF(L16=$S$15,$T$13,IF(ROUNDDOWN(L16,0)=$S$13,$U$13,$T$13))</f>
        <v>　レベル　4</v>
      </c>
      <c r="M21" s="3385" t="s">
        <v>3407</v>
      </c>
      <c r="N21" s="3402"/>
      <c r="O21" s="3429"/>
    </row>
    <row r="22" spans="2:256" ht="27" customHeight="1" thickBot="1">
      <c r="B22" s="1">
        <v>5</v>
      </c>
      <c r="C22" s="1">
        <v>5</v>
      </c>
      <c r="D22" s="908"/>
      <c r="E22" s="1042"/>
      <c r="F22" s="1335" t="str">
        <f>IF(F16=$S$15,$T$14,IF(ROUNDDOWN(F16,0)=$S$14,$U$14,$T$14))</f>
        <v>　レベル　5</v>
      </c>
      <c r="G22" s="1335" t="str">
        <f>IF(G16=$S$15,$T$14,IF(ROUNDDOWN(G16,0)=$S$14,$U$14,$T$14))</f>
        <v>　レベル　5</v>
      </c>
      <c r="H22" s="3648"/>
      <c r="I22" s="3649"/>
      <c r="J22" s="3648"/>
      <c r="K22" s="3649"/>
      <c r="L22" s="1335" t="str">
        <f>IF(L16=$S$15,$T$14,IF(ROUNDDOWN(L16,0)=$S$14,$U$14,$T$14))</f>
        <v>　レベル　5</v>
      </c>
      <c r="M22" s="2469" t="s">
        <v>3181</v>
      </c>
      <c r="N22" s="2470"/>
      <c r="O22" s="959"/>
    </row>
    <row r="23" spans="2:256" ht="16.5" thickBot="1">
      <c r="B23" s="960">
        <v>0</v>
      </c>
      <c r="C23" s="960">
        <v>0</v>
      </c>
      <c r="D23" s="908"/>
      <c r="E23" s="2040"/>
      <c r="F23" s="930">
        <v>0</v>
      </c>
      <c r="G23" s="1158" t="s">
        <v>2666</v>
      </c>
      <c r="H23" s="2328" t="s">
        <v>3339</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75" hidden="1">
      <c r="B24" s="1630"/>
      <c r="C24" s="1630"/>
      <c r="D24" s="908"/>
      <c r="E24" s="908"/>
      <c r="F24" s="2855" t="s">
        <v>3372</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
      <c r="D25" s="2283"/>
      <c r="E25" s="1323"/>
      <c r="H25"/>
      <c r="I25"/>
      <c r="J25"/>
      <c r="K25"/>
      <c r="L25"/>
      <c r="M25"/>
      <c r="N25"/>
      <c r="O25"/>
    </row>
    <row r="26" spans="2:256" ht="15.75">
      <c r="D26" s="908">
        <v>2</v>
      </c>
      <c r="E26" s="917" t="s">
        <v>2493</v>
      </c>
      <c r="F26" s="917"/>
      <c r="G26" s="917"/>
      <c r="H26" s="917"/>
      <c r="I26" s="1342"/>
      <c r="J26" s="999" t="str">
        <f>IF(OR(F28=0,AND(J28=0,O28=0)),$R$3,"")</f>
        <v/>
      </c>
      <c r="K26" s="1342"/>
      <c r="L26" s="1342"/>
      <c r="M26" s="1343"/>
    </row>
    <row r="27" spans="2:256" ht="16.5" thickBot="1">
      <c r="D27" s="908"/>
      <c r="E27" s="917"/>
      <c r="F27" s="923"/>
      <c r="G27" s="2094"/>
      <c r="H27" s="925"/>
      <c r="I27" s="926" t="s">
        <v>1364</v>
      </c>
      <c r="J27" s="927">
        <f>重み!M124</f>
        <v>0.1</v>
      </c>
      <c r="K27" s="1066"/>
      <c r="L27" s="1066"/>
      <c r="M27" s="1066"/>
      <c r="N27" s="1066"/>
      <c r="O27" s="936"/>
    </row>
    <row r="28" spans="2:256" ht="27" customHeight="1" thickBot="1">
      <c r="D28" s="908"/>
      <c r="E28" s="917"/>
      <c r="F28" s="2772">
        <f>IF((J28+O28)=0,0,IF(AND(G28=0,O28&gt;0),L28,G28*J28/(J28+O28)+L28*O28/(J28+O28)))</f>
        <v>3</v>
      </c>
      <c r="G28" s="2772">
        <f>IF(H34=T4,F34,IF(COUNTIF(H39:H42,"○")&lt;1,3,IF(COUNTIF(H39:H42,"○")&gt;=1,IF(I36&lt;15,4,5))))</f>
        <v>3</v>
      </c>
      <c r="H28" s="3500" t="s">
        <v>1020</v>
      </c>
      <c r="I28" s="3672"/>
      <c r="J28" s="1164">
        <f>計画書!H118</f>
        <v>30000</v>
      </c>
      <c r="K28" s="1339" t="s">
        <v>3045</v>
      </c>
      <c r="L28" s="930">
        <v>3</v>
      </c>
      <c r="M28" s="1344" t="s">
        <v>1497</v>
      </c>
      <c r="N28" s="1345"/>
      <c r="O28" s="1164">
        <f>計画書!H117</f>
        <v>0</v>
      </c>
    </row>
    <row r="29" spans="2:256" ht="21" customHeight="1">
      <c r="B29" s="1" t="s">
        <v>2842</v>
      </c>
      <c r="C29" s="1" t="s">
        <v>2842</v>
      </c>
      <c r="D29" s="908"/>
      <c r="E29" s="908"/>
      <c r="F29" s="1362" t="str">
        <f>IF(F28=$S$15,"",IF(ROUNDDOWN(F28,0)=$S$10,$U$10,$T$10))</f>
        <v>　レベル　1</v>
      </c>
      <c r="G29" s="1362" t="str">
        <f>IF(G28=$S$15,"",IF(ROUNDDOWN(G28,0)=$S$10,$U$10,$T$10))</f>
        <v>　レベル　1</v>
      </c>
      <c r="H29" s="939" t="s">
        <v>2178</v>
      </c>
      <c r="I29" s="940"/>
      <c r="J29" s="940"/>
      <c r="K29" s="3673" t="s">
        <v>3185</v>
      </c>
      <c r="L29" s="1362" t="str">
        <f>IF(L28=$S$15,"",IF(ROUNDDOWN(L28,0)=$S$10,$U$10,$T$10))</f>
        <v>　レベル　1</v>
      </c>
      <c r="M29" s="2419" t="s">
        <v>2178</v>
      </c>
      <c r="N29" s="2418"/>
      <c r="O29" s="941"/>
    </row>
    <row r="30" spans="2:256" ht="21" customHeight="1">
      <c r="B30" s="1" t="s">
        <v>2842</v>
      </c>
      <c r="C30" s="1">
        <v>2</v>
      </c>
      <c r="D30" s="908"/>
      <c r="E30" s="908"/>
      <c r="F30" s="1363" t="str">
        <f>IF(F28=$S$15,"",IF(ROUNDDOWN(F28,0)=$S$11,$U$11,$T$11))</f>
        <v>　レベル　2</v>
      </c>
      <c r="G30" s="1363" t="str">
        <f>IF(G28=$S$15,"",IF(ROUNDDOWN(G28,0)=$S$11,$U$11,$T$11))</f>
        <v>　レベル　2</v>
      </c>
      <c r="H30" s="946" t="s">
        <v>2178</v>
      </c>
      <c r="I30" s="947"/>
      <c r="J30" s="947"/>
      <c r="K30" s="3674"/>
      <c r="L30" s="1363" t="str">
        <f>IF(L28=$S$15,"",IF(ROUNDDOWN(L28,0)=$S$11,$U$11,$T$11))</f>
        <v>　レベル　2</v>
      </c>
      <c r="M30" s="2421" t="s">
        <v>1498</v>
      </c>
      <c r="N30" s="2420"/>
      <c r="O30" s="948"/>
    </row>
    <row r="31" spans="2:256" ht="39.75" customHeight="1">
      <c r="B31" s="1">
        <v>3</v>
      </c>
      <c r="C31" s="1">
        <v>3</v>
      </c>
      <c r="D31" s="908"/>
      <c r="E31" s="908"/>
      <c r="F31" s="1363" t="str">
        <f>IF(F28=$S$15,"",IF(ROUNDDOWN(F28,0)=$S$12,$U$12,$T$12))</f>
        <v>■レベル　3</v>
      </c>
      <c r="G31" s="1363" t="str">
        <f>IF(G28=$S$15,"",IF(ROUNDDOWN(G28,0)=$S$12,$U$12,$T$12))</f>
        <v>■レベル　3</v>
      </c>
      <c r="H31" s="3640" t="s">
        <v>2940</v>
      </c>
      <c r="I31" s="3641"/>
      <c r="J31" s="3641"/>
      <c r="K31" s="2422" t="s">
        <v>3047</v>
      </c>
      <c r="L31" s="1363" t="str">
        <f>IF(L28=$S$15,"",IF(ROUNDDOWN(L28,0)=$S$12,$U$12,$T$12))</f>
        <v>■レベル　3</v>
      </c>
      <c r="M31" s="3385" t="s">
        <v>2812</v>
      </c>
      <c r="N31" s="3402"/>
      <c r="O31" s="3429"/>
    </row>
    <row r="32" spans="2:256" ht="36.75" customHeight="1">
      <c r="B32" s="1">
        <v>4</v>
      </c>
      <c r="C32" s="1">
        <v>4</v>
      </c>
      <c r="D32" s="908"/>
      <c r="E32" s="908"/>
      <c r="F32" s="1363" t="str">
        <f>IF(F28=$S$15,"",IF(ROUNDDOWN(F28,0)=$S$13,$U$13,$T$13))</f>
        <v>　レベル　4</v>
      </c>
      <c r="G32" s="1363" t="str">
        <f>IF(G28=$S$15,"",IF(ROUNDDOWN(G28,0)=$S$13,$U$13,$T$13))</f>
        <v>　レベル　4</v>
      </c>
      <c r="H32" s="3385" t="s">
        <v>2941</v>
      </c>
      <c r="I32" s="3408"/>
      <c r="J32" s="3408"/>
      <c r="K32" s="2422" t="s">
        <v>3046</v>
      </c>
      <c r="L32" s="1363" t="str">
        <f>IF(L28=$S$15,"",IF(ROUNDDOWN(L28,0)=$S$13,$U$13,$T$13))</f>
        <v>　レベル　4</v>
      </c>
      <c r="M32" s="3385" t="s">
        <v>783</v>
      </c>
      <c r="N32" s="3402"/>
      <c r="O32" s="3429"/>
    </row>
    <row r="33" spans="2:17" ht="27" customHeight="1" thickBot="1">
      <c r="B33" s="1">
        <v>5</v>
      </c>
      <c r="C33" s="1">
        <v>5</v>
      </c>
      <c r="D33" s="908"/>
      <c r="E33" s="908"/>
      <c r="F33" s="1364" t="str">
        <f>IF(F28=$S$15,"",IF(ROUNDDOWN(F28,0)=$S$14,$U$14,$T$14))</f>
        <v>　レベル　5</v>
      </c>
      <c r="G33" s="1364" t="str">
        <f>IF(G28=$S$15,"",IF(ROUNDDOWN(G28,0)=$S$14,$U$14,$T$14))</f>
        <v>　レベル　5</v>
      </c>
      <c r="H33" s="3383" t="s">
        <v>784</v>
      </c>
      <c r="I33" s="3549"/>
      <c r="J33" s="3550"/>
      <c r="K33" s="2423"/>
      <c r="L33" s="1364" t="str">
        <f>IF(L28=$S$15,"",IF(ROUNDDOWN(L28,0)=$S$14,$U$14,$T$14))</f>
        <v>　レベル　5</v>
      </c>
      <c r="M33" s="3383" t="s">
        <v>785</v>
      </c>
      <c r="N33" s="3407"/>
      <c r="O33" s="3413"/>
    </row>
    <row r="34" spans="2:17" ht="21" customHeight="1" thickBot="1">
      <c r="B34" s="960">
        <v>0</v>
      </c>
      <c r="C34" s="960">
        <v>0</v>
      </c>
      <c r="D34" s="2277"/>
      <c r="E34" s="132"/>
      <c r="F34" s="930">
        <v>0</v>
      </c>
      <c r="G34" s="1158" t="s">
        <v>2666</v>
      </c>
      <c r="H34" s="2328" t="s">
        <v>3339</v>
      </c>
      <c r="I34" s="132"/>
      <c r="J34" s="132"/>
      <c r="K34" s="132"/>
      <c r="L34" s="132"/>
      <c r="M34" s="132"/>
      <c r="N34" s="132"/>
      <c r="O34" s="132"/>
    </row>
    <row r="35" spans="2:17" s="2687" customFormat="1" ht="22.5" hidden="1" customHeight="1" thickBot="1">
      <c r="B35" s="1630"/>
      <c r="C35" s="1630"/>
      <c r="D35" s="2277"/>
      <c r="E35" s="2414"/>
      <c r="F35" s="2855" t="s">
        <v>3372</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3048</v>
      </c>
      <c r="D38" s="908"/>
      <c r="E38" s="1343"/>
      <c r="F38" s="908"/>
      <c r="G38" s="1347" t="s">
        <v>1021</v>
      </c>
      <c r="H38" s="1348" t="s">
        <v>1170</v>
      </c>
      <c r="I38" s="1349" t="s">
        <v>1022</v>
      </c>
      <c r="J38" s="1350"/>
      <c r="K38" s="1350"/>
      <c r="L38" s="1350"/>
      <c r="M38" s="1350"/>
      <c r="N38" s="1350"/>
      <c r="O38" s="1351"/>
      <c r="P38" s="2040"/>
      <c r="Q38" s="2040"/>
    </row>
    <row r="39" spans="2:17" ht="29.25" customHeight="1">
      <c r="B39" s="960">
        <v>0</v>
      </c>
      <c r="C39" s="960">
        <v>0</v>
      </c>
      <c r="D39" s="908"/>
      <c r="E39" s="1343"/>
      <c r="F39" s="908"/>
      <c r="G39" s="1352">
        <v>1</v>
      </c>
      <c r="H39" s="1246"/>
      <c r="I39" s="3385" t="s">
        <v>2515</v>
      </c>
      <c r="J39" s="3642"/>
      <c r="K39" s="3642"/>
      <c r="L39" s="3642"/>
      <c r="M39" s="3642"/>
      <c r="N39" s="3642"/>
      <c r="O39" s="3643"/>
    </row>
    <row r="40" spans="2:17" ht="42" customHeight="1">
      <c r="D40" s="908"/>
      <c r="E40" s="1343"/>
      <c r="F40" s="908"/>
      <c r="G40" s="1353">
        <v>2</v>
      </c>
      <c r="H40" s="1249"/>
      <c r="I40" s="3385" t="s">
        <v>1023</v>
      </c>
      <c r="J40" s="3642"/>
      <c r="K40" s="3642"/>
      <c r="L40" s="3642"/>
      <c r="M40" s="3642"/>
      <c r="N40" s="3642"/>
      <c r="O40" s="3643"/>
    </row>
    <row r="41" spans="2:17" ht="27.75" customHeight="1">
      <c r="D41" s="908"/>
      <c r="E41" s="1343"/>
      <c r="F41" s="908"/>
      <c r="G41" s="1353">
        <v>3</v>
      </c>
      <c r="H41" s="1249"/>
      <c r="I41" s="3385" t="s">
        <v>2895</v>
      </c>
      <c r="J41" s="3642"/>
      <c r="K41" s="3642"/>
      <c r="L41" s="3642"/>
      <c r="M41" s="3642"/>
      <c r="N41" s="3642"/>
      <c r="O41" s="3643"/>
    </row>
    <row r="42" spans="2:17" ht="27.75" customHeight="1" thickBot="1">
      <c r="D42" s="908"/>
      <c r="E42" s="1343"/>
      <c r="F42" s="908"/>
      <c r="G42" s="1354">
        <v>4</v>
      </c>
      <c r="H42" s="1355"/>
      <c r="I42" s="1176" t="s">
        <v>2896</v>
      </c>
      <c r="J42" s="1177"/>
      <c r="K42" s="1177"/>
      <c r="L42" s="1177"/>
      <c r="M42" s="1177"/>
      <c r="N42" s="1177"/>
      <c r="O42" s="1178"/>
    </row>
    <row r="43" spans="2:17"/>
    <row r="44" spans="2:17" ht="14.25" customHeight="1">
      <c r="D44" s="1326">
        <v>3</v>
      </c>
      <c r="E44" s="1143" t="s">
        <v>1575</v>
      </c>
      <c r="F44" s="573"/>
      <c r="G44" s="573"/>
      <c r="H44" s="573"/>
      <c r="I44" s="573"/>
      <c r="J44" s="999" t="str">
        <f>IF(OR(F47=0,AND(O46=0,J47=0)),$R$3,"")</f>
        <v/>
      </c>
      <c r="K44" s="1296"/>
      <c r="L44" s="1296"/>
      <c r="M44" s="1296"/>
      <c r="N44" s="1296"/>
      <c r="O44" s="1296"/>
    </row>
    <row r="45" spans="2:17" s="2383" customFormat="1" ht="14.25" hidden="1" customHeight="1">
      <c r="D45" s="1326">
        <v>3.1</v>
      </c>
      <c r="E45" s="1143" t="s">
        <v>2955</v>
      </c>
      <c r="F45" s="573"/>
      <c r="G45" s="573"/>
      <c r="H45" s="573"/>
      <c r="I45" s="573"/>
      <c r="J45" s="999"/>
      <c r="K45" s="1296"/>
      <c r="L45" s="1296"/>
      <c r="M45" s="1296"/>
      <c r="N45" s="1296"/>
      <c r="O45" s="1296"/>
    </row>
    <row r="46" spans="2:17" ht="14.25">
      <c r="D46" s="2282"/>
      <c r="E46" s="1327"/>
      <c r="F46" s="2519" t="s">
        <v>2582</v>
      </c>
      <c r="G46" s="1165"/>
      <c r="H46" s="924"/>
      <c r="I46" s="924"/>
      <c r="J46" s="924"/>
      <c r="K46" s="924"/>
      <c r="L46" s="924"/>
      <c r="M46" s="924"/>
      <c r="N46" s="926" t="s">
        <v>1364</v>
      </c>
      <c r="O46" s="929">
        <f>重み!M129</f>
        <v>0.5</v>
      </c>
    </row>
    <row r="47" spans="2:17" ht="27" customHeight="1">
      <c r="D47" s="908"/>
      <c r="E47" s="1323"/>
      <c r="F47" s="2773">
        <f>ROUNDDOWN(計画書!H37,1)</f>
        <v>3</v>
      </c>
      <c r="G47" s="2493" t="s">
        <v>911</v>
      </c>
      <c r="H47" s="2110">
        <f>計画書!G32</f>
        <v>30000</v>
      </c>
      <c r="I47" s="2841" t="s">
        <v>3169</v>
      </c>
      <c r="J47" s="1164">
        <f>計画書!G33</f>
        <v>0</v>
      </c>
      <c r="K47" s="2490" t="s">
        <v>1905</v>
      </c>
      <c r="L47" s="1164">
        <f>メイン!C64</f>
        <v>0</v>
      </c>
      <c r="M47" s="3500" t="s">
        <v>3345</v>
      </c>
      <c r="N47" s="3672"/>
      <c r="O47" s="3424"/>
    </row>
    <row r="48" spans="2:17" ht="22.5" customHeight="1">
      <c r="D48" s="908"/>
      <c r="E48" s="1323"/>
      <c r="F48" s="1149" t="str">
        <f>IF(F47=$S$15,$T$10,IF(ROUNDDOWN(F47,0)=$S$10,$U$10,$T$10))</f>
        <v>　レベル　1</v>
      </c>
      <c r="G48" s="3644" t="s">
        <v>3186</v>
      </c>
      <c r="H48" s="3645"/>
      <c r="I48" s="3644" t="s">
        <v>3187</v>
      </c>
      <c r="J48" s="3645"/>
      <c r="K48" s="3644" t="s">
        <v>3188</v>
      </c>
      <c r="L48" s="3645"/>
      <c r="M48" s="2509" t="s">
        <v>3192</v>
      </c>
      <c r="N48" s="2512" t="s">
        <v>3189</v>
      </c>
      <c r="O48" s="2515">
        <f>ROUNDDOWN(計画書!J35,2)</f>
        <v>1.1000000000000001</v>
      </c>
    </row>
    <row r="49" spans="4:15" ht="22.5" customHeight="1">
      <c r="D49" s="908"/>
      <c r="E49" s="1323"/>
      <c r="F49" s="2494" t="str">
        <f>IF(F47=$S$15,$T$11,IF(ROUNDDOWN(F47,0)=$S$11,$U$11,$T$11))</f>
        <v>　レベル　2</v>
      </c>
      <c r="G49" s="3646"/>
      <c r="H49" s="3647"/>
      <c r="I49" s="3646"/>
      <c r="J49" s="3647"/>
      <c r="K49" s="3646"/>
      <c r="L49" s="3647"/>
      <c r="M49" s="2510" t="s">
        <v>3193</v>
      </c>
      <c r="N49" s="2513" t="s">
        <v>3190</v>
      </c>
      <c r="O49" s="2516">
        <f>ROUNDDOWN(計画書!K35,2)</f>
        <v>1</v>
      </c>
    </row>
    <row r="50" spans="4:15" ht="22.5" customHeight="1">
      <c r="D50" s="908"/>
      <c r="E50" s="1323"/>
      <c r="F50" s="2494" t="str">
        <f>IF(F47=$S$15,$T$12,IF(ROUNDDOWN(F47,0)=$S$12,$U$12,$T$12))</f>
        <v>■レベル　3</v>
      </c>
      <c r="G50" s="3646"/>
      <c r="H50" s="3647"/>
      <c r="I50" s="3646"/>
      <c r="J50" s="3647"/>
      <c r="K50" s="3646"/>
      <c r="L50" s="3647"/>
      <c r="M50" s="2510" t="s">
        <v>3194</v>
      </c>
      <c r="N50" s="2513" t="s">
        <v>3190</v>
      </c>
      <c r="O50" s="2518">
        <f>ROUNDDOWN(計画書!L35,2)</f>
        <v>0.8</v>
      </c>
    </row>
    <row r="51" spans="4:15" ht="22.5" customHeight="1">
      <c r="D51" s="908"/>
      <c r="E51" s="1323"/>
      <c r="F51" s="2494" t="str">
        <f>IF(F47=$S$15,$T$13,IF(ROUNDDOWN(F47,0)=$S$13,$U$13,$T$13))</f>
        <v>　レベル　4</v>
      </c>
      <c r="G51" s="3646"/>
      <c r="H51" s="3647"/>
      <c r="I51" s="3646"/>
      <c r="J51" s="3647"/>
      <c r="K51" s="3646"/>
      <c r="L51" s="3647"/>
      <c r="M51" s="2510" t="s">
        <v>3195</v>
      </c>
      <c r="N51" s="2513" t="s">
        <v>3190</v>
      </c>
      <c r="O51" s="2518">
        <f>ROUNDDOWN(計画書!M35,2)</f>
        <v>0.7</v>
      </c>
    </row>
    <row r="52" spans="4:15" ht="22.5" customHeight="1">
      <c r="D52" s="908"/>
      <c r="E52" s="1323"/>
      <c r="F52" s="2495" t="str">
        <f>IF(F47=$S$15,$T$14,IF(ROUNDDOWN(F47,0)=$S$14,$U$14,$T$14))</f>
        <v>　レベル　5</v>
      </c>
      <c r="G52" s="3648"/>
      <c r="H52" s="3649"/>
      <c r="I52" s="3648"/>
      <c r="J52" s="3649"/>
      <c r="K52" s="3648"/>
      <c r="L52" s="3649"/>
      <c r="M52" s="2511" t="s">
        <v>3196</v>
      </c>
      <c r="N52" s="2514" t="s">
        <v>3191</v>
      </c>
      <c r="O52" s="2517">
        <f>ROUNDDOWN(計画書!N35,2)</f>
        <v>0.6</v>
      </c>
    </row>
    <row r="53" spans="4:15" ht="14.25" hidden="1">
      <c r="F53" s="2855" t="s">
        <v>3373</v>
      </c>
    </row>
    <row r="54" spans="4:15"/>
    <row r="55" spans="4:15">
      <c r="G55" s="2505" t="s">
        <v>2162</v>
      </c>
      <c r="H55" s="2506" t="s">
        <v>2933</v>
      </c>
      <c r="I55" s="2507"/>
      <c r="J55" s="2507"/>
      <c r="K55" s="2507"/>
      <c r="L55" s="2507"/>
      <c r="M55" s="2507"/>
      <c r="N55" s="2507"/>
      <c r="O55" s="2508"/>
    </row>
    <row r="56" spans="4:15">
      <c r="G56" s="2496" t="s">
        <v>3370</v>
      </c>
      <c r="H56" s="2497"/>
      <c r="I56" s="2497"/>
      <c r="J56" s="2497"/>
      <c r="K56" s="2497"/>
      <c r="L56" s="2497"/>
      <c r="M56" s="2497"/>
      <c r="N56" s="2497"/>
      <c r="O56" s="2498"/>
    </row>
    <row r="57" spans="4:15">
      <c r="G57" s="2499" t="s">
        <v>3369</v>
      </c>
      <c r="H57" s="2500"/>
      <c r="I57" s="2500"/>
      <c r="J57" s="2500"/>
      <c r="K57" s="2500"/>
      <c r="L57" s="2500"/>
      <c r="M57" s="2500"/>
      <c r="N57" s="2500"/>
      <c r="O57" s="2501"/>
    </row>
    <row r="58" spans="4:15">
      <c r="G58" s="2502" t="s">
        <v>3368</v>
      </c>
      <c r="H58" s="2503"/>
      <c r="I58" s="2503"/>
      <c r="J58" s="2503"/>
      <c r="K58" s="2503"/>
      <c r="L58" s="2503"/>
      <c r="M58" s="2503"/>
      <c r="N58" s="2503"/>
      <c r="O58" s="2504"/>
    </row>
    <row r="59" spans="4:15" ht="12.95" hidden="1" customHeight="1"/>
    <row r="60" spans="4:15" s="2383" customFormat="1" ht="15.6" hidden="1" customHeight="1">
      <c r="D60" s="1326"/>
      <c r="E60" s="1143"/>
      <c r="F60" s="1326" t="s">
        <v>3023</v>
      </c>
      <c r="G60" s="132"/>
      <c r="H60" s="132"/>
      <c r="I60" s="132"/>
      <c r="J60" s="2384"/>
      <c r="K60" s="132"/>
      <c r="L60" s="132"/>
      <c r="M60" s="2014"/>
      <c r="N60" s="2014"/>
      <c r="O60" s="2014"/>
    </row>
    <row r="61" spans="4:15" s="2383" customFormat="1" ht="12.95" hidden="1" customHeight="1">
      <c r="D61" s="2284"/>
      <c r="E61" s="2384"/>
      <c r="F61" s="2384" t="s">
        <v>2956</v>
      </c>
      <c r="G61" s="132"/>
      <c r="H61" s="132"/>
      <c r="I61" s="132"/>
      <c r="J61" s="132"/>
      <c r="K61" s="132"/>
      <c r="L61" s="132"/>
      <c r="M61" s="2014"/>
      <c r="N61" s="2014"/>
      <c r="O61" s="2014"/>
    </row>
    <row r="62" spans="4:15" s="2383" customFormat="1" ht="12.95" hidden="1" customHeight="1">
      <c r="D62" s="2284"/>
      <c r="E62" s="2384"/>
      <c r="F62" s="1358" t="e">
        <f>計画書!#REF!</f>
        <v>#REF!</v>
      </c>
      <c r="G62" s="2405" t="s">
        <v>3024</v>
      </c>
      <c r="H62" s="2406"/>
      <c r="I62" s="2406"/>
      <c r="J62" s="2406"/>
      <c r="K62" s="2407">
        <v>1</v>
      </c>
      <c r="L62" s="2385"/>
      <c r="M62" s="2014"/>
      <c r="N62" s="2014"/>
      <c r="O62" s="2014"/>
    </row>
    <row r="63" spans="4:15" s="2383" customFormat="1" ht="12.95" hidden="1" customHeight="1">
      <c r="D63" s="2284"/>
      <c r="E63" s="2014"/>
      <c r="F63" s="132"/>
      <c r="G63" s="2405" t="s">
        <v>3025</v>
      </c>
      <c r="H63" s="2406"/>
      <c r="I63" s="2406"/>
      <c r="J63" s="2406"/>
      <c r="K63" s="2407" t="s">
        <v>3026</v>
      </c>
      <c r="L63" s="2385"/>
      <c r="M63" s="2014"/>
      <c r="N63" s="2014"/>
      <c r="O63" s="2014"/>
    </row>
    <row r="64" spans="4:15" s="2383" customFormat="1" ht="12.95" hidden="1" customHeight="1">
      <c r="D64" s="2284"/>
      <c r="E64" s="2014"/>
      <c r="F64" s="132"/>
      <c r="G64" s="2408"/>
      <c r="H64" s="2408"/>
      <c r="I64" s="2408"/>
      <c r="J64" s="2408"/>
      <c r="K64" s="2409"/>
      <c r="L64" s="2385"/>
      <c r="M64" s="2014"/>
      <c r="N64" s="2014"/>
      <c r="O64" s="2014"/>
    </row>
    <row r="65" spans="2:15" s="2385" customFormat="1" ht="13.5" hidden="1" customHeight="1" thickBot="1">
      <c r="D65" s="2284"/>
      <c r="E65" s="2014"/>
      <c r="F65" s="2384" t="s">
        <v>2957</v>
      </c>
      <c r="G65" s="132"/>
      <c r="I65" s="2410"/>
      <c r="J65" s="132"/>
      <c r="K65" s="132"/>
      <c r="L65" s="132"/>
      <c r="M65" s="2014"/>
      <c r="N65" s="2014"/>
      <c r="O65" s="2014"/>
    </row>
    <row r="66" spans="2:15" s="2385" customFormat="1" ht="12.95" hidden="1" customHeight="1">
      <c r="D66" s="2284"/>
      <c r="E66" s="2014"/>
      <c r="F66" s="1358" t="e">
        <f>計画書!#REF!</f>
        <v>#REF!</v>
      </c>
      <c r="G66" s="2411" t="s">
        <v>3027</v>
      </c>
      <c r="H66" s="2412" t="s">
        <v>3028</v>
      </c>
      <c r="I66" s="2412" t="s">
        <v>3029</v>
      </c>
      <c r="J66" s="2412" t="s">
        <v>3030</v>
      </c>
      <c r="K66" s="132"/>
      <c r="L66" s="132"/>
      <c r="M66" s="2014"/>
      <c r="N66" s="2014"/>
      <c r="O66" s="2014"/>
    </row>
    <row r="67" spans="2:15" s="2385" customFormat="1" ht="12.95" hidden="1" customHeight="1">
      <c r="D67" s="2284"/>
      <c r="E67" s="2014"/>
      <c r="F67" s="132"/>
      <c r="G67" s="2413" t="s">
        <v>3031</v>
      </c>
      <c r="H67" s="2407">
        <v>2</v>
      </c>
      <c r="I67" s="2407">
        <v>1</v>
      </c>
      <c r="J67" s="2407">
        <v>1</v>
      </c>
      <c r="K67" s="132"/>
      <c r="L67" s="132"/>
      <c r="M67" s="2014"/>
      <c r="N67" s="2014"/>
      <c r="O67" s="2014"/>
    </row>
    <row r="68" spans="2:15" s="2385" customFormat="1" ht="12.95" hidden="1" customHeight="1">
      <c r="D68" s="2284"/>
      <c r="E68" s="2014"/>
      <c r="F68" s="132"/>
      <c r="G68" s="2413" t="s">
        <v>3032</v>
      </c>
      <c r="H68" s="2407">
        <v>2.5</v>
      </c>
      <c r="I68" s="2407">
        <v>1.5</v>
      </c>
      <c r="J68" s="2407">
        <v>1</v>
      </c>
      <c r="K68" s="132"/>
      <c r="L68" s="2414"/>
      <c r="M68" s="2014"/>
      <c r="N68" s="2014"/>
      <c r="O68" s="2014"/>
    </row>
    <row r="69" spans="2:15" s="2385" customFormat="1" ht="12.95" hidden="1" customHeight="1">
      <c r="D69" s="2284"/>
      <c r="E69" s="2014"/>
      <c r="F69" s="132"/>
      <c r="G69" s="2413" t="s">
        <v>3033</v>
      </c>
      <c r="H69" s="2407">
        <v>3</v>
      </c>
      <c r="I69" s="2407">
        <v>2</v>
      </c>
      <c r="J69" s="2407">
        <v>1</v>
      </c>
      <c r="K69" s="132"/>
      <c r="L69" s="132"/>
      <c r="M69" s="2014"/>
      <c r="N69" s="2014"/>
      <c r="O69" s="2014"/>
    </row>
    <row r="70" spans="2:15" s="2385" customFormat="1" ht="12.95" hidden="1" customHeight="1">
      <c r="D70" s="2284"/>
      <c r="E70" s="2014"/>
      <c r="F70" s="132"/>
      <c r="G70" s="2413" t="s">
        <v>3034</v>
      </c>
      <c r="H70" s="2407">
        <v>3.5</v>
      </c>
      <c r="I70" s="2407">
        <v>2.5</v>
      </c>
      <c r="J70" s="2407">
        <v>1.5</v>
      </c>
      <c r="K70" s="132"/>
      <c r="L70" s="132"/>
      <c r="M70" s="2014"/>
      <c r="N70" s="2014"/>
      <c r="O70" s="2014"/>
    </row>
    <row r="71" spans="2:15" s="2385" customFormat="1" ht="12.95" hidden="1" customHeight="1">
      <c r="D71" s="2284"/>
      <c r="E71" s="2014"/>
      <c r="F71" s="132"/>
      <c r="G71" s="2413" t="s">
        <v>3035</v>
      </c>
      <c r="H71" s="2407">
        <v>4</v>
      </c>
      <c r="I71" s="2407">
        <v>3</v>
      </c>
      <c r="J71" s="2407">
        <v>2</v>
      </c>
      <c r="K71" s="132"/>
      <c r="L71" s="132"/>
      <c r="M71" s="2014"/>
      <c r="N71" s="2014"/>
      <c r="O71" s="2014"/>
    </row>
    <row r="72" spans="2:15" s="2385" customFormat="1" ht="12.95" hidden="1" customHeight="1">
      <c r="D72" s="2284"/>
      <c r="E72" s="2014"/>
      <c r="F72" s="132"/>
      <c r="G72" s="2413" t="s">
        <v>3036</v>
      </c>
      <c r="H72" s="2407">
        <v>4.5</v>
      </c>
      <c r="I72" s="2407">
        <v>3.5</v>
      </c>
      <c r="J72" s="2407">
        <v>2.5</v>
      </c>
      <c r="K72" s="132"/>
      <c r="L72" s="132"/>
      <c r="M72" s="2014"/>
      <c r="N72" s="2014"/>
      <c r="O72" s="2014"/>
    </row>
    <row r="73" spans="2:15" s="2385" customFormat="1" ht="12.95" hidden="1" customHeight="1">
      <c r="D73" s="2284"/>
      <c r="E73" s="2014"/>
      <c r="F73" s="132"/>
      <c r="G73" s="2415">
        <v>4</v>
      </c>
      <c r="H73" s="2407">
        <v>5</v>
      </c>
      <c r="I73" s="2407">
        <v>4</v>
      </c>
      <c r="J73" s="2407">
        <v>3</v>
      </c>
      <c r="K73" s="132"/>
      <c r="L73" s="132"/>
      <c r="M73" s="2014"/>
      <c r="N73" s="2014"/>
      <c r="O73" s="2014"/>
    </row>
    <row r="74" spans="2:15" ht="14.1" hidden="1" customHeight="1">
      <c r="F74" s="1143" t="s">
        <v>2201</v>
      </c>
      <c r="G74" s="2015"/>
      <c r="H74" s="2015"/>
      <c r="I74" s="2016"/>
      <c r="J74" s="1323"/>
      <c r="K74" s="1324"/>
    </row>
    <row r="75" spans="2:15" ht="12.95" hidden="1" customHeight="1">
      <c r="B75" t="s">
        <v>1329</v>
      </c>
      <c r="F75" s="1065" t="s">
        <v>782</v>
      </c>
      <c r="G75" s="924"/>
      <c r="H75" s="925"/>
      <c r="I75" s="926" t="s">
        <v>1364</v>
      </c>
      <c r="J75" s="927">
        <v>0.5</v>
      </c>
      <c r="K75" s="1066"/>
      <c r="L75" s="1066"/>
      <c r="M75" s="1066"/>
      <c r="N75" s="1066"/>
      <c r="O75" s="936"/>
    </row>
    <row r="76" spans="2:15" ht="13.5" hidden="1" customHeight="1" thickBot="1">
      <c r="B76" s="1210">
        <v>0</v>
      </c>
      <c r="F76" s="930">
        <v>0</v>
      </c>
      <c r="G76" s="1017" t="s">
        <v>1969</v>
      </c>
      <c r="H76" s="1017"/>
      <c r="I76" s="1017"/>
      <c r="J76" s="1017"/>
      <c r="K76" s="1017"/>
      <c r="L76" s="1017"/>
      <c r="M76" s="1031"/>
      <c r="N76" s="1046" t="s">
        <v>1325</v>
      </c>
      <c r="O76" s="936"/>
    </row>
    <row r="77" spans="2:15" ht="12.95" hidden="1" customHeight="1">
      <c r="B77" s="1" t="s">
        <v>2842</v>
      </c>
      <c r="C77" s="1">
        <v>1</v>
      </c>
      <c r="F77" s="1333" t="str">
        <f>IF(F76=$S$15,"",IF(ROUNDDOWN(F76,0)=$S$10,$U$10,$T$10))</f>
        <v/>
      </c>
      <c r="G77" s="939" t="s">
        <v>2178</v>
      </c>
      <c r="H77" s="1361"/>
      <c r="I77" s="1361"/>
      <c r="J77" s="1361"/>
      <c r="K77" s="1361"/>
      <c r="L77" s="1361"/>
      <c r="M77" s="1361"/>
      <c r="N77" s="3457"/>
      <c r="O77" s="3661"/>
    </row>
    <row r="78" spans="2:15" ht="12.95" hidden="1" customHeight="1">
      <c r="B78" s="1">
        <v>2</v>
      </c>
      <c r="C78" s="1">
        <v>3</v>
      </c>
      <c r="F78" s="1334" t="str">
        <f>IF(F76=$S$15,"",IF(ROUNDDOWN(F76,0)=$S$11,$U$11,$T$11))</f>
        <v/>
      </c>
      <c r="G78" s="946" t="s">
        <v>2223</v>
      </c>
      <c r="H78" s="1361"/>
      <c r="I78" s="1361"/>
      <c r="J78" s="1361"/>
      <c r="K78" s="1361"/>
      <c r="L78" s="1361"/>
      <c r="M78" s="1361"/>
      <c r="N78" s="3662"/>
      <c r="O78" s="3663"/>
    </row>
    <row r="79" spans="2:15" ht="12.95" hidden="1" customHeight="1">
      <c r="B79" s="1">
        <v>3</v>
      </c>
      <c r="C79" s="1">
        <v>3</v>
      </c>
      <c r="F79" s="1334" t="str">
        <f>IF(F76=$S$15,"",IF(ROUNDDOWN(F76,0)=$S$12,$U$12,$T$12))</f>
        <v/>
      </c>
      <c r="G79" s="946" t="s">
        <v>2224</v>
      </c>
      <c r="H79" s="1361"/>
      <c r="I79" s="1361"/>
      <c r="J79" s="1361"/>
      <c r="K79" s="1361"/>
      <c r="L79" s="1361"/>
      <c r="M79" s="1361"/>
      <c r="N79" s="3662"/>
      <c r="O79" s="3663"/>
    </row>
    <row r="80" spans="2:15" ht="12.95" hidden="1" customHeight="1">
      <c r="B80" s="1">
        <v>4</v>
      </c>
      <c r="C80" s="1">
        <v>4</v>
      </c>
      <c r="F80" s="1334" t="str">
        <f>IF(F76=$S$15,"",IF(ROUNDDOWN(F76,0)=$S$13,$U$13,$T$13))</f>
        <v/>
      </c>
      <c r="G80" s="946" t="s">
        <v>2225</v>
      </c>
      <c r="H80" s="1361"/>
      <c r="I80" s="1361"/>
      <c r="J80" s="1361"/>
      <c r="K80" s="1361"/>
      <c r="L80" s="1361"/>
      <c r="M80" s="1361"/>
      <c r="N80" s="3662"/>
      <c r="O80" s="3663"/>
    </row>
    <row r="81" spans="2:15" ht="12.95" hidden="1" customHeight="1">
      <c r="B81" s="1">
        <v>5</v>
      </c>
      <c r="C81" s="1">
        <v>5</v>
      </c>
      <c r="F81" s="1335" t="str">
        <f>IF(F76=$S$15,"",IF(ROUNDDOWN(F76,0)=$S$14,$U$14,$T$14))</f>
        <v/>
      </c>
      <c r="G81" s="957" t="s">
        <v>2370</v>
      </c>
      <c r="H81" s="958"/>
      <c r="I81" s="958"/>
      <c r="J81" s="958"/>
      <c r="K81" s="958"/>
      <c r="L81" s="958"/>
      <c r="M81" s="958"/>
      <c r="N81" s="3664"/>
      <c r="O81" s="3665"/>
    </row>
    <row r="82" spans="2:15" ht="12.95" hidden="1" customHeight="1">
      <c r="B82" s="960">
        <v>0</v>
      </c>
      <c r="C82" s="960">
        <v>0</v>
      </c>
    </row>
    <row r="83" spans="2:15" ht="14.1" hidden="1" customHeight="1">
      <c r="F83" s="1143" t="s">
        <v>2371</v>
      </c>
      <c r="G83" s="1323"/>
      <c r="H83" s="1323" t="s">
        <v>1361</v>
      </c>
      <c r="I83" s="1323"/>
    </row>
    <row r="84" spans="2:15" ht="12.95" hidden="1" customHeight="1"/>
    <row r="85" spans="2:15" ht="15.6" hidden="1" customHeight="1">
      <c r="F85" s="1143" t="s">
        <v>2372</v>
      </c>
      <c r="G85" s="1357"/>
      <c r="H85" s="1143"/>
      <c r="I85" s="1324"/>
      <c r="K85" s="1324"/>
    </row>
    <row r="86" spans="2:15" ht="12.95" hidden="1" customHeight="1">
      <c r="B86" t="s">
        <v>1329</v>
      </c>
      <c r="F86" s="1065" t="s">
        <v>782</v>
      </c>
      <c r="G86" s="924"/>
      <c r="H86" s="925"/>
      <c r="I86" s="926" t="s">
        <v>1364</v>
      </c>
      <c r="J86" s="927">
        <v>0.5</v>
      </c>
      <c r="K86" s="1066"/>
      <c r="L86" s="1066"/>
      <c r="M86" s="1066"/>
      <c r="N86" s="1066"/>
      <c r="O86" s="936"/>
    </row>
    <row r="87" spans="2:15" ht="13.5" hidden="1" customHeight="1" thickBot="1">
      <c r="B87" s="1210">
        <v>0</v>
      </c>
      <c r="F87" s="930">
        <v>0</v>
      </c>
      <c r="G87" s="1017" t="s">
        <v>1969</v>
      </c>
      <c r="H87" s="1017"/>
      <c r="I87" s="1017"/>
      <c r="J87" s="1017"/>
      <c r="K87" s="1017"/>
      <c r="L87" s="1017"/>
      <c r="M87" s="1031"/>
      <c r="N87" s="1046" t="s">
        <v>1325</v>
      </c>
      <c r="O87" s="936"/>
    </row>
    <row r="88" spans="2:15" ht="12.95" hidden="1" customHeight="1">
      <c r="B88" s="1" t="s">
        <v>2842</v>
      </c>
      <c r="C88" s="1">
        <v>1</v>
      </c>
      <c r="F88" s="1333" t="str">
        <f>IF(F87=$S$15,"",IF(ROUNDDOWN(F87,0)=$S$10,$U$10,$T$10))</f>
        <v/>
      </c>
      <c r="G88" s="939" t="s">
        <v>2178</v>
      </c>
      <c r="H88" s="1361"/>
      <c r="I88" s="1361"/>
      <c r="J88" s="1361"/>
      <c r="K88" s="1361"/>
      <c r="L88" s="1361"/>
      <c r="M88" s="1361"/>
      <c r="N88" s="3457" t="s">
        <v>2226</v>
      </c>
      <c r="O88" s="3661"/>
    </row>
    <row r="89" spans="2:15" ht="12.95" hidden="1" customHeight="1">
      <c r="B89" s="1">
        <v>2</v>
      </c>
      <c r="C89" s="1">
        <v>3</v>
      </c>
      <c r="F89" s="1334" t="str">
        <f>IF(F87=$S$15,"",IF(ROUNDDOWN(F87,0)=$S$11,$U$11,$T$11))</f>
        <v/>
      </c>
      <c r="G89" s="946" t="s">
        <v>2227</v>
      </c>
      <c r="H89" s="1361"/>
      <c r="I89" s="1361"/>
      <c r="J89" s="1361"/>
      <c r="K89" s="1361"/>
      <c r="L89" s="1361"/>
      <c r="M89" s="1361"/>
      <c r="N89" s="3662"/>
      <c r="O89" s="3663"/>
    </row>
    <row r="90" spans="2:15" ht="12.95" hidden="1" customHeight="1">
      <c r="B90" s="1">
        <v>3</v>
      </c>
      <c r="C90" s="1">
        <v>3</v>
      </c>
      <c r="F90" s="1334" t="str">
        <f>IF(F87=$S$15,"",IF(ROUNDDOWN(F87,0)=$S$12,$U$12,$T$12))</f>
        <v/>
      </c>
      <c r="G90" s="946" t="s">
        <v>2373</v>
      </c>
      <c r="H90" s="1361"/>
      <c r="I90" s="1361"/>
      <c r="J90" s="1361"/>
      <c r="K90" s="1361"/>
      <c r="L90" s="1361"/>
      <c r="M90" s="1361"/>
      <c r="N90" s="3662"/>
      <c r="O90" s="3663"/>
    </row>
    <row r="91" spans="2:15" ht="12.95" hidden="1" customHeight="1">
      <c r="B91" s="1">
        <v>4</v>
      </c>
      <c r="C91" s="1">
        <v>4</v>
      </c>
      <c r="F91" s="1334" t="str">
        <f>IF(F87=$S$15,"",IF(ROUNDDOWN(F87,0)=$S$13,$U$13,$T$13))</f>
        <v/>
      </c>
      <c r="G91" s="946" t="s">
        <v>2228</v>
      </c>
      <c r="H91" s="1361"/>
      <c r="I91" s="1361"/>
      <c r="J91" s="1361"/>
      <c r="K91" s="1361"/>
      <c r="L91" s="1361"/>
      <c r="M91" s="1361"/>
      <c r="N91" s="3662"/>
      <c r="O91" s="3663"/>
    </row>
    <row r="92" spans="2:15" ht="12.95" hidden="1" customHeight="1">
      <c r="B92" s="1">
        <v>5</v>
      </c>
      <c r="C92" s="1">
        <v>5</v>
      </c>
      <c r="F92" s="1335" t="str">
        <f>IF(F87=$S$15,"",IF(ROUNDDOWN(F87,0)=$S$14,$U$14,$T$14))</f>
        <v/>
      </c>
      <c r="G92" s="957" t="s">
        <v>2229</v>
      </c>
      <c r="H92" s="958"/>
      <c r="I92" s="958"/>
      <c r="J92" s="958"/>
      <c r="K92" s="958"/>
      <c r="L92" s="958"/>
      <c r="M92" s="958"/>
      <c r="N92" s="3664"/>
      <c r="O92" s="3665"/>
    </row>
    <row r="93" spans="2:15" ht="12.95" hidden="1" customHeight="1">
      <c r="B93" s="960">
        <v>0</v>
      </c>
      <c r="C93" s="960">
        <v>0</v>
      </c>
    </row>
    <row r="94" spans="2:15" ht="14.1" hidden="1" customHeight="1">
      <c r="F94" s="1143" t="s">
        <v>2374</v>
      </c>
      <c r="H94" s="1323" t="s">
        <v>1361</v>
      </c>
      <c r="I94" s="1323"/>
    </row>
    <row r="95" spans="2:15" ht="12.95" hidden="1" customHeight="1">
      <c r="I95" s="1323"/>
    </row>
    <row r="96" spans="2:15" ht="14.1" hidden="1" customHeight="1">
      <c r="F96" s="1143" t="s">
        <v>2375</v>
      </c>
      <c r="H96" s="1323" t="s">
        <v>1361</v>
      </c>
      <c r="I96" s="1323"/>
    </row>
    <row r="97" spans="2:15"/>
    <row r="98" spans="2:15" ht="15.75">
      <c r="D98" s="1326">
        <v>4</v>
      </c>
      <c r="E98" s="1143" t="s">
        <v>2566</v>
      </c>
      <c r="F98" s="1143"/>
      <c r="G98" s="1293"/>
      <c r="H98" s="1293"/>
      <c r="I98" s="1293"/>
      <c r="J98" s="916"/>
      <c r="K98" s="916"/>
      <c r="L98" s="916"/>
      <c r="M98" s="916"/>
      <c r="N98" s="916"/>
      <c r="O98" s="916"/>
    </row>
    <row r="99" spans="2:15" ht="15.75">
      <c r="D99" s="1326">
        <v>4.0999999999999996</v>
      </c>
      <c r="E99" s="1143" t="s">
        <v>1011</v>
      </c>
      <c r="F99" s="1143"/>
      <c r="J99" s="999" t="str">
        <f>IF(OR(F101=0,AND(J100=0,O100=0)),$R$3,"")</f>
        <v/>
      </c>
      <c r="O99" s="999"/>
    </row>
    <row r="100" spans="2:15" ht="15" thickBot="1">
      <c r="D100" s="2282"/>
      <c r="E100" s="1327"/>
      <c r="F100" s="1065"/>
      <c r="G100" s="924"/>
      <c r="H100" s="925"/>
      <c r="I100" s="926" t="s">
        <v>1364</v>
      </c>
      <c r="J100" s="927">
        <f>重み!M140</f>
        <v>0.5</v>
      </c>
      <c r="K100" s="1065"/>
      <c r="L100" s="924"/>
      <c r="M100" s="925"/>
      <c r="N100" s="926" t="s">
        <v>1364</v>
      </c>
      <c r="O100" s="929">
        <f>重み!M143</f>
        <v>0</v>
      </c>
    </row>
    <row r="101" spans="2:15" ht="27" customHeight="1" thickBot="1">
      <c r="D101" s="908"/>
      <c r="E101" s="1323"/>
      <c r="F101" s="930">
        <v>3</v>
      </c>
      <c r="G101" s="2126" t="s">
        <v>2567</v>
      </c>
      <c r="H101" s="1365"/>
      <c r="I101" s="1365"/>
      <c r="J101" s="1365"/>
      <c r="K101" s="930">
        <v>3</v>
      </c>
      <c r="L101" s="934" t="s">
        <v>1905</v>
      </c>
      <c r="M101" s="935"/>
      <c r="N101" s="935"/>
      <c r="O101" s="936"/>
    </row>
    <row r="102" spans="2:15" ht="21" customHeight="1">
      <c r="B102" s="1" t="s">
        <v>2842</v>
      </c>
      <c r="C102" s="1" t="s">
        <v>2842</v>
      </c>
      <c r="D102" s="908"/>
      <c r="E102" s="1323"/>
      <c r="F102" s="937" t="str">
        <f>IF(F101=$S$15,$T$10,IF(ROUNDDOWN(F101,0)=$S$10,$U$10,$T$10))</f>
        <v>　レベル　1</v>
      </c>
      <c r="G102" s="1170" t="s">
        <v>1833</v>
      </c>
      <c r="H102" s="2108"/>
      <c r="I102" s="2108"/>
      <c r="J102" s="2108"/>
      <c r="K102" s="937" t="str">
        <f>IF(K101=$S$15,$T$10,IF(ROUNDDOWN(K101,0)=$S$10,$U$10,$T$10))</f>
        <v>　レベル　1</v>
      </c>
      <c r="L102" s="2109" t="s">
        <v>1833</v>
      </c>
      <c r="M102" s="2117"/>
      <c r="N102" s="2117"/>
      <c r="O102" s="2118"/>
    </row>
    <row r="103" spans="2:15" ht="21" customHeight="1">
      <c r="B103" s="1" t="s">
        <v>2842</v>
      </c>
      <c r="C103" s="1" t="s">
        <v>2842</v>
      </c>
      <c r="D103" s="908"/>
      <c r="E103" s="1323"/>
      <c r="F103" s="1089" t="str">
        <f>IF(F101=$S$15,$T$11,IF(ROUNDDOWN(F101,0)=$S$11,$U$11,$T$11))</f>
        <v>　レベル　2</v>
      </c>
      <c r="G103" s="1173" t="s">
        <v>1833</v>
      </c>
      <c r="H103" s="1361"/>
      <c r="I103" s="1361"/>
      <c r="J103" s="1361"/>
      <c r="K103" s="1089" t="str">
        <f>IF(K101=$S$15,$T$11,IF(ROUNDDOWN(K101,0)=$S$11,$U$11,$T$11))</f>
        <v>　レベル　2</v>
      </c>
      <c r="L103" s="1173" t="s">
        <v>1833</v>
      </c>
      <c r="M103" s="1174"/>
      <c r="N103" s="1174"/>
      <c r="O103" s="1175"/>
    </row>
    <row r="104" spans="2:15" ht="45" customHeight="1">
      <c r="B104" s="1">
        <v>3</v>
      </c>
      <c r="C104" s="1">
        <v>3</v>
      </c>
      <c r="D104" s="908"/>
      <c r="E104" s="1323"/>
      <c r="F104" s="1089" t="str">
        <f>IF(F101=$S$15,$T$12,IF(ROUNDDOWN(F101,0)=$S$12,$U$12,$T$12))</f>
        <v>■レベル　3</v>
      </c>
      <c r="G104" s="3419" t="s">
        <v>2202</v>
      </c>
      <c r="H104" s="3638"/>
      <c r="I104" s="3638"/>
      <c r="J104" s="3639"/>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　レベル　4</v>
      </c>
      <c r="G105" s="3419" t="s">
        <v>211</v>
      </c>
      <c r="H105" s="3638"/>
      <c r="I105" s="3638"/>
      <c r="J105" s="3639"/>
      <c r="K105" s="1089" t="str">
        <f>IF(K101=$S$15,$T$13,IF(ROUNDDOWN(K101,0)=$S$13,$U$13,$T$13))</f>
        <v>　レベル　4</v>
      </c>
      <c r="L105" s="3385" t="s">
        <v>209</v>
      </c>
      <c r="M105" s="3402"/>
      <c r="N105" s="3402"/>
      <c r="O105" s="3429"/>
    </row>
    <row r="106" spans="2:15" ht="45" customHeight="1">
      <c r="B106" s="1">
        <v>5</v>
      </c>
      <c r="C106" s="1">
        <v>5</v>
      </c>
      <c r="D106" s="908"/>
      <c r="E106" s="1323"/>
      <c r="F106" s="953" t="str">
        <f>IF(F101=$S$15,$T$14,IF(ROUNDDOWN(F101,0)=$S$14,$U$14,$T$14))</f>
        <v>　レベル　5</v>
      </c>
      <c r="G106" s="3383" t="s">
        <v>1014</v>
      </c>
      <c r="H106" s="3549"/>
      <c r="I106" s="3549"/>
      <c r="J106" s="3550"/>
      <c r="K106" s="953" t="str">
        <f>IF(K101=$S$15,$T$14,IF(ROUNDDOWN(K101,0)=$S$14,$U$14,$T$14))</f>
        <v>　レベル　5</v>
      </c>
      <c r="L106" s="3383" t="s">
        <v>210</v>
      </c>
      <c r="M106" s="3549"/>
      <c r="N106" s="3549"/>
      <c r="O106" s="3550"/>
    </row>
    <row r="107" spans="2:15" ht="15.75">
      <c r="B107" s="960">
        <v>0</v>
      </c>
      <c r="C107" s="960">
        <v>0</v>
      </c>
      <c r="D107" s="908"/>
      <c r="E107" s="1323"/>
      <c r="F107" s="559"/>
      <c r="G107" s="559" t="s">
        <v>1012</v>
      </c>
      <c r="H107" s="559"/>
      <c r="I107" s="559"/>
      <c r="J107" s="559"/>
      <c r="K107" s="909"/>
      <c r="L107" s="909"/>
      <c r="M107" s="909"/>
      <c r="N107" s="909"/>
      <c r="O107" s="909"/>
    </row>
    <row r="108" spans="2:15" ht="15.75">
      <c r="B108" s="1379"/>
      <c r="C108" s="1379"/>
      <c r="D108" s="908"/>
      <c r="E108" s="1323"/>
      <c r="F108" s="559"/>
      <c r="G108" s="559" t="s">
        <v>1013</v>
      </c>
      <c r="H108" s="559"/>
      <c r="I108" s="559"/>
      <c r="J108" s="559"/>
      <c r="K108" s="909"/>
      <c r="L108" s="909"/>
      <c r="M108" s="909"/>
      <c r="N108" s="909"/>
      <c r="O108" s="909"/>
    </row>
    <row r="109" spans="2:15" ht="18.75" customHeight="1">
      <c r="D109" s="908"/>
      <c r="E109" s="1323"/>
      <c r="F109" s="559" t="s">
        <v>2846</v>
      </c>
      <c r="G109" s="559"/>
      <c r="H109" s="559"/>
      <c r="I109" s="559"/>
      <c r="J109" s="909"/>
      <c r="K109" s="909"/>
      <c r="L109" s="909"/>
      <c r="M109" s="909"/>
      <c r="N109" s="909"/>
      <c r="O109" s="909"/>
    </row>
    <row r="110" spans="2:15" ht="16.5" customHeight="1">
      <c r="D110" s="908"/>
      <c r="E110" s="1323"/>
      <c r="F110" s="3666" t="s">
        <v>2847</v>
      </c>
      <c r="G110" s="3667"/>
      <c r="H110" s="1366" t="s">
        <v>2848</v>
      </c>
      <c r="I110" s="1367"/>
      <c r="J110" s="1366" t="s">
        <v>2849</v>
      </c>
      <c r="K110" s="1367"/>
      <c r="L110" s="1367"/>
      <c r="M110" s="1368"/>
      <c r="N110" s="1369" t="s">
        <v>2850</v>
      </c>
      <c r="O110" s="1370"/>
    </row>
    <row r="111" spans="2:15" ht="16.5" customHeight="1">
      <c r="D111" s="908"/>
      <c r="E111" s="1323"/>
      <c r="F111" s="3637">
        <v>1</v>
      </c>
      <c r="G111" s="3637" t="s">
        <v>2851</v>
      </c>
      <c r="H111" s="1372" t="s">
        <v>2852</v>
      </c>
      <c r="I111" s="1373"/>
      <c r="J111" s="1372" t="s">
        <v>430</v>
      </c>
      <c r="K111" s="1373"/>
      <c r="L111" s="1373"/>
      <c r="M111" s="1374"/>
      <c r="N111" s="1372"/>
      <c r="O111" s="1374"/>
    </row>
    <row r="112" spans="2:15" ht="16.5" customHeight="1">
      <c r="D112" s="908"/>
      <c r="E112" s="1323"/>
      <c r="F112" s="3637"/>
      <c r="G112" s="3637"/>
      <c r="H112" s="1372" t="s">
        <v>2854</v>
      </c>
      <c r="I112" s="1373"/>
      <c r="J112" s="1372" t="s">
        <v>2855</v>
      </c>
      <c r="K112" s="1373"/>
      <c r="L112" s="1373"/>
      <c r="M112" s="1374"/>
      <c r="N112" s="1372" t="s">
        <v>2856</v>
      </c>
      <c r="O112" s="1374"/>
    </row>
    <row r="113" spans="4:15" ht="16.5" customHeight="1">
      <c r="D113" s="908"/>
      <c r="E113" s="1323"/>
      <c r="F113" s="3637"/>
      <c r="G113" s="3637"/>
      <c r="H113" s="1372" t="s">
        <v>2857</v>
      </c>
      <c r="I113" s="1373"/>
      <c r="J113" s="1372" t="s">
        <v>2688</v>
      </c>
      <c r="K113" s="1373"/>
      <c r="L113" s="1373"/>
      <c r="M113" s="1374"/>
      <c r="N113" s="1372"/>
      <c r="O113" s="1374"/>
    </row>
    <row r="114" spans="4:15" ht="16.5" customHeight="1">
      <c r="D114" s="908"/>
      <c r="E114" s="1323"/>
      <c r="F114" s="3668">
        <v>2</v>
      </c>
      <c r="G114" s="3668" t="s">
        <v>1270</v>
      </c>
      <c r="H114" s="1372" t="s">
        <v>2689</v>
      </c>
      <c r="I114" s="1373"/>
      <c r="J114" s="1372" t="s">
        <v>2690</v>
      </c>
      <c r="K114" s="1373"/>
      <c r="L114" s="1373"/>
      <c r="M114" s="1374"/>
      <c r="N114" s="1372"/>
      <c r="O114" s="1374"/>
    </row>
    <row r="115" spans="4:15" ht="16.5" customHeight="1">
      <c r="D115" s="908"/>
      <c r="E115" s="1323"/>
      <c r="F115" s="3669"/>
      <c r="G115" s="3669"/>
      <c r="H115" s="1372" t="s">
        <v>2691</v>
      </c>
      <c r="I115" s="1373"/>
      <c r="J115" s="1372" t="s">
        <v>2692</v>
      </c>
      <c r="K115" s="1373"/>
      <c r="L115" s="1373"/>
      <c r="M115" s="1374"/>
      <c r="N115" s="1372"/>
      <c r="O115" s="1374"/>
    </row>
    <row r="116" spans="4:15" ht="16.5" customHeight="1">
      <c r="D116" s="908"/>
      <c r="E116" s="1323"/>
      <c r="F116" s="3669"/>
      <c r="G116" s="3669"/>
      <c r="H116" s="1372" t="s">
        <v>195</v>
      </c>
      <c r="I116" s="1373"/>
      <c r="J116" s="1372" t="s">
        <v>2692</v>
      </c>
      <c r="K116" s="1373"/>
      <c r="L116" s="1373"/>
      <c r="M116" s="1374"/>
      <c r="N116" s="1372"/>
      <c r="O116" s="1374"/>
    </row>
    <row r="117" spans="4:15" ht="16.5" customHeight="1">
      <c r="D117" s="908"/>
      <c r="E117" s="1323"/>
      <c r="F117" s="3670"/>
      <c r="G117" s="3670"/>
      <c r="H117" s="1372" t="s">
        <v>1691</v>
      </c>
      <c r="I117" s="1373"/>
      <c r="J117" s="1372" t="s">
        <v>1692</v>
      </c>
      <c r="K117" s="1373"/>
      <c r="L117" s="1373"/>
      <c r="M117" s="1374"/>
      <c r="N117" s="1372"/>
      <c r="O117" s="1374"/>
    </row>
    <row r="118" spans="4:15" ht="16.5" customHeight="1">
      <c r="D118" s="908"/>
      <c r="E118" s="1323"/>
      <c r="F118" s="1371">
        <v>3</v>
      </c>
      <c r="G118" s="1371" t="s">
        <v>1271</v>
      </c>
      <c r="H118" s="1372" t="s">
        <v>1693</v>
      </c>
      <c r="I118" s="1373"/>
      <c r="J118" s="1372"/>
      <c r="K118" s="1373"/>
      <c r="L118" s="1373"/>
      <c r="M118" s="1374"/>
      <c r="N118" s="1372"/>
      <c r="O118" s="1374"/>
    </row>
    <row r="119" spans="4:15" ht="16.5" customHeight="1">
      <c r="D119" s="908"/>
      <c r="E119" s="1323"/>
      <c r="F119" s="1371">
        <v>4</v>
      </c>
      <c r="G119" s="1371" t="s">
        <v>1272</v>
      </c>
      <c r="H119" s="1372" t="s">
        <v>1694</v>
      </c>
      <c r="I119" s="1373"/>
      <c r="J119" s="1372" t="s">
        <v>1695</v>
      </c>
      <c r="K119" s="1373"/>
      <c r="L119" s="1373"/>
      <c r="M119" s="1374"/>
      <c r="N119" s="1372"/>
      <c r="O119" s="1374"/>
    </row>
    <row r="120" spans="4:15" ht="16.5" customHeight="1">
      <c r="D120" s="908"/>
      <c r="E120" s="1323"/>
      <c r="F120" s="3637">
        <v>5</v>
      </c>
      <c r="G120" s="3637" t="s">
        <v>1273</v>
      </c>
      <c r="H120" s="1372" t="s">
        <v>2852</v>
      </c>
      <c r="I120" s="1373"/>
      <c r="J120" s="1372" t="s">
        <v>2853</v>
      </c>
      <c r="K120" s="1373"/>
      <c r="L120" s="1373"/>
      <c r="M120" s="1374"/>
      <c r="N120" s="1372"/>
      <c r="O120" s="1374"/>
    </row>
    <row r="121" spans="4:15" ht="16.5" customHeight="1">
      <c r="D121" s="908"/>
      <c r="E121" s="1323"/>
      <c r="F121" s="3637"/>
      <c r="G121" s="3637"/>
      <c r="H121" s="1372" t="s">
        <v>2854</v>
      </c>
      <c r="I121" s="1373"/>
      <c r="J121" s="1372" t="s">
        <v>2855</v>
      </c>
      <c r="K121" s="1373"/>
      <c r="L121" s="1373"/>
      <c r="M121" s="1374"/>
      <c r="N121" s="1372"/>
      <c r="O121" s="1374"/>
    </row>
    <row r="122" spans="4:15" ht="16.5" customHeight="1">
      <c r="D122" s="908"/>
      <c r="E122" s="1323"/>
      <c r="F122" s="3637"/>
      <c r="G122" s="3637"/>
      <c r="H122" s="1372" t="s">
        <v>2857</v>
      </c>
      <c r="I122" s="1373"/>
      <c r="J122" s="1372" t="s">
        <v>2688</v>
      </c>
      <c r="K122" s="1373"/>
      <c r="L122" s="1373"/>
      <c r="M122" s="1374"/>
      <c r="N122" s="1372"/>
      <c r="O122" s="1374"/>
    </row>
    <row r="123" spans="4:15" ht="16.5" customHeight="1">
      <c r="D123" s="908"/>
      <c r="E123" s="1323"/>
      <c r="F123" s="1371">
        <v>6</v>
      </c>
      <c r="G123" s="1371" t="s">
        <v>431</v>
      </c>
      <c r="H123" s="1372" t="s">
        <v>432</v>
      </c>
      <c r="I123" s="1373"/>
      <c r="J123" s="1372" t="s">
        <v>433</v>
      </c>
      <c r="K123" s="1373"/>
      <c r="L123" s="1373"/>
      <c r="M123" s="1374"/>
      <c r="N123" s="1372"/>
      <c r="O123" s="1374"/>
    </row>
    <row r="124" spans="4:15" ht="16.5" customHeight="1">
      <c r="D124" s="908"/>
      <c r="E124" s="1323"/>
      <c r="F124" s="3637">
        <v>7</v>
      </c>
      <c r="G124" s="3637" t="s">
        <v>1696</v>
      </c>
      <c r="H124" s="1372" t="s">
        <v>434</v>
      </c>
      <c r="I124" s="1373"/>
      <c r="J124" s="1372" t="s">
        <v>435</v>
      </c>
      <c r="K124" s="1373"/>
      <c r="L124" s="1373"/>
      <c r="M124" s="1374"/>
      <c r="N124" s="1372"/>
      <c r="O124" s="1374"/>
    </row>
    <row r="125" spans="4:15" ht="16.5" customHeight="1">
      <c r="D125" s="908"/>
      <c r="E125" s="1323"/>
      <c r="F125" s="3637"/>
      <c r="G125" s="3637"/>
      <c r="H125" s="1372" t="s">
        <v>1697</v>
      </c>
      <c r="I125" s="1373"/>
      <c r="J125" s="1372" t="s">
        <v>436</v>
      </c>
      <c r="K125" s="1373"/>
      <c r="L125" s="1373"/>
      <c r="M125" s="1374"/>
      <c r="N125" s="1372"/>
      <c r="O125" s="1374"/>
    </row>
    <row r="126" spans="4:15" ht="16.5" customHeight="1">
      <c r="D126" s="908"/>
      <c r="E126" s="1323"/>
      <c r="F126" s="3637"/>
      <c r="G126" s="3637"/>
      <c r="H126" s="1372" t="s">
        <v>1698</v>
      </c>
      <c r="I126" s="1373"/>
      <c r="J126" s="1372" t="s">
        <v>437</v>
      </c>
      <c r="K126" s="1373"/>
      <c r="L126" s="1373"/>
      <c r="M126" s="1374"/>
      <c r="N126" s="1372"/>
      <c r="O126" s="1374"/>
    </row>
    <row r="127" spans="4:15" ht="16.5" customHeight="1">
      <c r="D127" s="908"/>
      <c r="E127" s="1323"/>
      <c r="F127" s="3671"/>
      <c r="G127" s="3671"/>
      <c r="H127" s="1372" t="s">
        <v>365</v>
      </c>
      <c r="I127" s="1373"/>
      <c r="J127" s="1372" t="s">
        <v>3365</v>
      </c>
      <c r="K127" s="1373"/>
      <c r="L127" s="1373"/>
      <c r="M127" s="1374"/>
      <c r="N127" s="1372"/>
      <c r="O127" s="1374"/>
    </row>
    <row r="128" spans="4:15" ht="18" customHeight="1">
      <c r="D128" s="908"/>
      <c r="E128" s="559"/>
      <c r="F128" s="559"/>
      <c r="G128" s="559" t="s">
        <v>746</v>
      </c>
      <c r="H128" s="559"/>
      <c r="I128" s="559"/>
      <c r="J128" s="909"/>
      <c r="K128" s="909"/>
      <c r="L128" s="909"/>
      <c r="M128" s="909"/>
      <c r="N128" s="909"/>
      <c r="O128" s="909"/>
    </row>
    <row r="129" spans="2:15" ht="18" customHeight="1">
      <c r="D129" s="1326">
        <v>4.2</v>
      </c>
      <c r="E129" s="1143" t="s">
        <v>1018</v>
      </c>
      <c r="F129" s="2111"/>
      <c r="J129" s="999" t="str">
        <f>IF(OR(F131=0,AND(J130=0,O130=0)),$R$3,"")</f>
        <v/>
      </c>
      <c r="K129" s="2111"/>
      <c r="L129" s="2114"/>
      <c r="M129" s="2113"/>
      <c r="N129" s="2113"/>
      <c r="O129" s="999"/>
    </row>
    <row r="130" spans="2:15" ht="15" thickBot="1">
      <c r="D130" s="2282"/>
      <c r="E130" s="1327"/>
      <c r="F130" s="1065"/>
      <c r="G130" s="924"/>
      <c r="H130" s="925"/>
      <c r="I130" s="926" t="s">
        <v>1364</v>
      </c>
      <c r="J130" s="927">
        <f>重み!M141</f>
        <v>0.5</v>
      </c>
      <c r="K130" s="1065"/>
      <c r="L130" s="924"/>
      <c r="M130" s="925"/>
      <c r="N130" s="926" t="s">
        <v>1364</v>
      </c>
      <c r="O130" s="929">
        <f>重み!M144</f>
        <v>0</v>
      </c>
    </row>
    <row r="131" spans="2:15" ht="25.5" customHeight="1" thickBot="1">
      <c r="D131" s="908"/>
      <c r="E131" s="1323"/>
      <c r="F131" s="930">
        <v>3</v>
      </c>
      <c r="G131" s="1017" t="s">
        <v>2567</v>
      </c>
      <c r="H131" s="1017"/>
      <c r="I131" s="1017"/>
      <c r="J131" s="1017"/>
      <c r="K131" s="930">
        <v>3</v>
      </c>
      <c r="L131" s="934" t="s">
        <v>1905</v>
      </c>
      <c r="M131" s="935"/>
      <c r="N131" s="935"/>
      <c r="O131" s="936"/>
    </row>
    <row r="132" spans="2:15" ht="21" customHeight="1">
      <c r="B132" s="1">
        <v>1</v>
      </c>
      <c r="C132" s="1">
        <v>1</v>
      </c>
      <c r="D132" s="908"/>
      <c r="E132" s="1323"/>
      <c r="F132" s="942" t="str">
        <f>IF(F131=$S$15,$T$10,IF(AND($O$3=$U$3,ROUNDDOWN(F131,0)=$S$10),$U$10,$T$10))</f>
        <v>　レベル　1</v>
      </c>
      <c r="G132" s="2109" t="s">
        <v>827</v>
      </c>
      <c r="H132" s="1361"/>
      <c r="I132" s="1361"/>
      <c r="J132" s="1361"/>
      <c r="K132" s="937" t="str">
        <f>IF(K131=$S$15,$T$10,IF(ROUNDDOWN(K131,0)=$S$10,$U$10,$T$10))</f>
        <v>　レベル　1</v>
      </c>
      <c r="L132" s="2109" t="s">
        <v>1615</v>
      </c>
      <c r="M132" s="2117"/>
      <c r="N132" s="2117"/>
      <c r="O132" s="2118"/>
    </row>
    <row r="133" spans="2:15" ht="21" customHeight="1">
      <c r="B133" s="1">
        <v>2</v>
      </c>
      <c r="C133" s="1">
        <v>2</v>
      </c>
      <c r="D133" s="908"/>
      <c r="E133" s="1323"/>
      <c r="F133" s="942" t="str">
        <f>IF(F131=$S$15,$T$11,IF(AND($O$3=$U$3,ROUNDDOWN(F131,0)=$S$11),$U$11,$T$11))</f>
        <v>　レベル　2</v>
      </c>
      <c r="G133" s="1173" t="s">
        <v>828</v>
      </c>
      <c r="H133" s="1361"/>
      <c r="I133" s="1361"/>
      <c r="J133" s="1361"/>
      <c r="K133" s="1089" t="str">
        <f>IF(K131=$S$15,$T$11,IF(ROUNDDOWN(K131,0)=$S$11,$U$11,$T$11))</f>
        <v>　レベル　2</v>
      </c>
      <c r="L133" s="1173" t="s">
        <v>1833</v>
      </c>
      <c r="M133" s="1174"/>
      <c r="N133" s="1174"/>
      <c r="O133" s="1175"/>
    </row>
    <row r="134" spans="2:15" ht="25.5" customHeight="1">
      <c r="B134" s="1">
        <v>3</v>
      </c>
      <c r="C134" s="1">
        <v>3</v>
      </c>
      <c r="D134" s="908"/>
      <c r="E134" s="1323"/>
      <c r="F134" s="942" t="str">
        <f>IF(F131=$S$15,$T$12,IF(AND($O$3=$U$3,ROUNDDOWN(F131,0)=$S$12),$U$12,$T$12))</f>
        <v>　レベル　3</v>
      </c>
      <c r="G134" s="3385" t="s">
        <v>747</v>
      </c>
      <c r="H134" s="3402"/>
      <c r="I134" s="3402"/>
      <c r="J134" s="3429"/>
      <c r="K134" s="1089" t="str">
        <f>IF(K131=$S$15,$T$12,IF(ROUNDDOWN(K131,0)=$S$12,$U$12,$T$12))</f>
        <v>■レベル　3</v>
      </c>
      <c r="L134" s="1173" t="s">
        <v>1616</v>
      </c>
      <c r="M134" s="1174"/>
      <c r="N134" s="1174"/>
      <c r="O134" s="1175"/>
    </row>
    <row r="135" spans="2:15" ht="42.75" customHeight="1">
      <c r="B135" s="1">
        <v>4</v>
      </c>
      <c r="C135" s="1">
        <v>4</v>
      </c>
      <c r="D135" s="908"/>
      <c r="E135" s="1323"/>
      <c r="F135" s="942" t="str">
        <f>IF(F131=$S$15,$T$13,IF(AND($O$3=$U$3,ROUNDDOWN(F131,0)=$S$13),$U$13,$T$13))</f>
        <v>　レベル　4</v>
      </c>
      <c r="G135" s="3385" t="s">
        <v>2910</v>
      </c>
      <c r="H135" s="3551"/>
      <c r="I135" s="3551"/>
      <c r="J135" s="3552"/>
      <c r="K135" s="1089" t="str">
        <f>IF(K131=$S$15,$T$13,IF(ROUNDDOWN(K131,0)=$S$13,$U$13,$T$13))</f>
        <v>　レベル　4</v>
      </c>
      <c r="L135" s="3385" t="s">
        <v>1617</v>
      </c>
      <c r="M135" s="3551"/>
      <c r="N135" s="3551"/>
      <c r="O135" s="3552"/>
    </row>
    <row r="136" spans="2:15" ht="40.5" customHeight="1">
      <c r="B136" s="1">
        <v>5</v>
      </c>
      <c r="C136" s="1">
        <v>5</v>
      </c>
      <c r="D136" s="908"/>
      <c r="E136" s="1323"/>
      <c r="F136" s="953" t="str">
        <f>IF(F131=$S$15,$T$14,IF(AND($O$3=$U$3,ROUNDDOWN(F131,0)=$S$14),$U$14,$T$14))</f>
        <v>　レベル　5</v>
      </c>
      <c r="G136" s="3383" t="s">
        <v>2911</v>
      </c>
      <c r="H136" s="3549"/>
      <c r="I136" s="3549"/>
      <c r="J136" s="3550"/>
      <c r="K136" s="953" t="str">
        <f>IF(K131=$S$15,$T$14,IF(ROUNDDOWN(K131,0)=$S$14,$U$14,$T$14))</f>
        <v>　レベル　5</v>
      </c>
      <c r="L136" s="3383" t="s">
        <v>1618</v>
      </c>
      <c r="M136" s="3549"/>
      <c r="N136" s="3549"/>
      <c r="O136" s="3550"/>
    </row>
    <row r="137" spans="2:15" ht="9.75" customHeight="1">
      <c r="B137" s="960">
        <v>0</v>
      </c>
      <c r="C137" s="960">
        <v>0</v>
      </c>
      <c r="D137" s="908"/>
    </row>
    <row r="138" spans="2:15" ht="14.25" hidden="1">
      <c r="E138" s="2112"/>
      <c r="K138" s="2111"/>
      <c r="L138" s="2116"/>
      <c r="M138" s="2123"/>
      <c r="N138" s="2123"/>
      <c r="O138" s="999"/>
    </row>
    <row r="139" spans="2:15" ht="14.25" hidden="1">
      <c r="E139" s="2115"/>
    </row>
    <row r="140" spans="2:15" ht="15.75" hidden="1">
      <c r="D140" s="908"/>
      <c r="E140" s="2115"/>
    </row>
    <row r="141" spans="2:15" ht="15.75" hidden="1">
      <c r="B141" s="1">
        <v>1</v>
      </c>
      <c r="C141" s="1" t="s">
        <v>2177</v>
      </c>
      <c r="D141" s="908"/>
      <c r="E141" s="2115"/>
    </row>
    <row r="142" spans="2:15" ht="15.75" hidden="1">
      <c r="B142" s="1" t="s">
        <v>2177</v>
      </c>
      <c r="C142" s="1" t="s">
        <v>2177</v>
      </c>
      <c r="D142" s="908"/>
      <c r="E142" s="2115"/>
    </row>
    <row r="143" spans="2:15" ht="15.7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7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XQQRynboYUOeAoxRFaQ30lT4ZV+cB7AP26Bbsalacd4WyiLCDH92p6+WHk4I2OfJNVht9lAuFKfREshCPl5aUg==" saltValue="iG9QlQBCfZX+4qgscVslyA==" spinCount="100000"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147" priority="18" stopIfTrue="1">
      <formula>AND(OR(F8&lt;1,F8&gt;5),F8&lt;&gt;0)</formula>
    </cfRule>
    <cfRule type="expression" dxfId="146" priority="19" stopIfTrue="1">
      <formula>$J7&gt;0</formula>
    </cfRule>
  </conditionalFormatting>
  <conditionalFormatting sqref="L28">
    <cfRule type="expression" dxfId="145" priority="20" stopIfTrue="1">
      <formula>AND(OR(L28&lt;1,L28&gt;5),L28&lt;&gt;0)</formula>
    </cfRule>
    <cfRule type="expression" dxfId="144" priority="21" stopIfTrue="1">
      <formula>O28&gt;0</formula>
    </cfRule>
  </conditionalFormatting>
  <conditionalFormatting sqref="K101">
    <cfRule type="expression" dxfId="143" priority="24" stopIfTrue="1">
      <formula>AND(OR(K101&lt;1,K101&gt;5),K101&lt;&gt;0)</formula>
    </cfRule>
    <cfRule type="expression" dxfId="142" priority="25" stopIfTrue="1">
      <formula>$O$100</formula>
    </cfRule>
  </conditionalFormatting>
  <conditionalFormatting sqref="I36">
    <cfRule type="expression" dxfId="141" priority="26" stopIfTrue="1">
      <formula>$J$28&gt;0</formula>
    </cfRule>
  </conditionalFormatting>
  <conditionalFormatting sqref="F16">
    <cfRule type="cellIs" dxfId="140" priority="28" stopIfTrue="1" operator="equal">
      <formula>#REF!</formula>
    </cfRule>
    <cfRule type="cellIs" dxfId="139" priority="29" stopIfTrue="1" operator="equal">
      <formula>#REF!</formula>
    </cfRule>
    <cfRule type="cellIs" dxfId="138" priority="30" stopIfTrue="1" operator="equal">
      <formula>#REF!</formula>
    </cfRule>
  </conditionalFormatting>
  <conditionalFormatting sqref="H23">
    <cfRule type="expression" dxfId="137" priority="12">
      <formula>$K$16+$O$16&gt;0</formula>
    </cfRule>
  </conditionalFormatting>
  <conditionalFormatting sqref="K131">
    <cfRule type="expression" dxfId="136" priority="8" stopIfTrue="1">
      <formula>AND(OR(K131&lt;1,K131&gt;5),K131&lt;&gt;0)</formula>
    </cfRule>
    <cfRule type="expression" dxfId="135" priority="9" stopIfTrue="1">
      <formula>$O$130</formula>
    </cfRule>
  </conditionalFormatting>
  <conditionalFormatting sqref="H39:H42">
    <cfRule type="expression" dxfId="134" priority="6">
      <formula>AND($J$27&gt;0,$H$34=$T$3)</formula>
    </cfRule>
  </conditionalFormatting>
  <conditionalFormatting sqref="F23">
    <cfRule type="expression" dxfId="133" priority="4" stopIfTrue="1">
      <formula>AND(OR(F23&lt;1,F23&gt;5),F23&lt;&gt;0)</formula>
    </cfRule>
    <cfRule type="expression" dxfId="132" priority="5" stopIfTrue="1">
      <formula>AND(J15&gt;0,H23=$T$4)</formula>
    </cfRule>
  </conditionalFormatting>
  <conditionalFormatting sqref="H34">
    <cfRule type="expression" dxfId="131" priority="3">
      <formula>$K$16+$O$16&gt;0</formula>
    </cfRule>
  </conditionalFormatting>
  <conditionalFormatting sqref="F34">
    <cfRule type="expression" dxfId="130" priority="1" stopIfTrue="1">
      <formula>AND(OR(F34&lt;1,F34&gt;5),F34&lt;&gt;0)</formula>
    </cfRule>
    <cfRule type="expression" dxfId="12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topLeftCell="A65" zoomScaleNormal="100" zoomScaleSheetLayoutView="100" workbookViewId="0">
      <selection activeCell="C6" sqref="C6"/>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58"/>
      <c r="C2" s="2059" t="s">
        <v>3150</v>
      </c>
      <c r="D2" s="2060"/>
      <c r="E2" s="2060"/>
      <c r="F2" s="2061"/>
      <c r="G2" s="2061"/>
      <c r="H2" s="2062"/>
      <c r="I2" s="2060"/>
      <c r="J2" s="2063"/>
      <c r="K2" s="2063"/>
      <c r="L2" s="2063"/>
      <c r="M2" s="2064" t="s">
        <v>2697</v>
      </c>
      <c r="N2" s="2065" t="str">
        <f>メイン!C11</f>
        <v>○○ビル</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4.25" thickBot="1">
      <c r="B5" s="2071"/>
      <c r="C5" s="2202" t="s">
        <v>3152</v>
      </c>
      <c r="D5" s="2067" t="s">
        <v>3338</v>
      </c>
      <c r="E5" s="2072"/>
      <c r="F5" s="2072"/>
      <c r="G5" s="2072"/>
      <c r="H5" s="2072"/>
      <c r="I5" s="2072"/>
      <c r="J5" s="2072"/>
      <c r="K5" s="2072"/>
      <c r="L5" s="2072"/>
      <c r="M5" s="2072"/>
      <c r="N5" s="2072"/>
      <c r="O5" s="2072"/>
      <c r="P5" s="2072"/>
      <c r="Q5" s="2201"/>
      <c r="U5" s="2242">
        <f>IF($H$6&lt;=V10,U11,IF($H$6&lt;=V9,U10,IF($H$6&lt;=V8,U9,IF($H$6&lt;=V7,U8,1))))</f>
        <v>4</v>
      </c>
      <c r="W5">
        <f>VLOOKUP($U$5,U7:X11,3)</f>
        <v>-14.285714285714295</v>
      </c>
      <c r="X5">
        <f>VLOOKUP($U$5,U7:X11,4)</f>
        <v>16.857142857142868</v>
      </c>
      <c r="Y5" s="2242">
        <f>IF($H$6&lt;=Z10,Y11,IF($H$6&lt;=Z9,Y10,IF($H$6&lt;=Z8,Y9,IF($H$6&lt;=Z7,Y8,1))))</f>
        <v>4</v>
      </c>
      <c r="AA5">
        <f>VLOOKUP($Y$5,Y7:AB11,3)</f>
        <v>-25.000000000000046</v>
      </c>
      <c r="AB5">
        <f>VLOOKUP($Y$5,Y7:AB11,4)</f>
        <v>27.250000000000043</v>
      </c>
    </row>
    <row r="6" spans="1:28" ht="14.25" thickBot="1">
      <c r="B6" s="2071"/>
      <c r="C6" s="2072"/>
      <c r="D6" s="2067"/>
      <c r="E6" s="2067" t="s">
        <v>134</v>
      </c>
      <c r="F6" s="2067"/>
      <c r="G6" s="2216" t="s">
        <v>3154</v>
      </c>
      <c r="H6" s="2527">
        <v>0.97</v>
      </c>
      <c r="I6" s="2072"/>
      <c r="J6" s="2526">
        <f>メイン!F12</f>
        <v>0</v>
      </c>
      <c r="K6" s="2072"/>
      <c r="L6" s="2481" t="s">
        <v>3180</v>
      </c>
      <c r="M6" s="2849">
        <f>IF(H6="",1,IF(H6&lt;=V11,U11,IF(H6&gt;=V7,U7,H6*W5+X5)))</f>
        <v>3.0000000000000018</v>
      </c>
      <c r="N6" s="2072"/>
      <c r="O6" s="2072"/>
      <c r="P6" s="2072"/>
      <c r="Q6" s="2201"/>
      <c r="T6" t="s">
        <v>2942</v>
      </c>
      <c r="U6" s="1" t="s">
        <v>2491</v>
      </c>
      <c r="V6" s="1" t="s">
        <v>2490</v>
      </c>
      <c r="W6" t="s">
        <v>2777</v>
      </c>
      <c r="X6" t="s">
        <v>2778</v>
      </c>
      <c r="Y6" s="1" t="s">
        <v>2491</v>
      </c>
      <c r="Z6" s="1" t="str">
        <f>メイン!I18</f>
        <v>８地域</v>
      </c>
      <c r="AA6" t="s">
        <v>2777</v>
      </c>
      <c r="AB6" t="s">
        <v>2778</v>
      </c>
    </row>
    <row r="7" spans="1:28">
      <c r="B7" s="2071"/>
      <c r="C7" s="2072"/>
      <c r="D7" s="2072"/>
      <c r="E7" s="2072"/>
      <c r="F7" s="2072"/>
      <c r="G7" s="2072"/>
      <c r="H7" s="2072"/>
      <c r="I7" s="2072"/>
      <c r="J7" s="2072"/>
      <c r="K7" s="2072"/>
      <c r="L7" s="2481" t="s">
        <v>3179</v>
      </c>
      <c r="M7" s="2849">
        <f>IF(H6="",1,IF(H6&lt;=Z11,Y11,IF(H6&gt;=Z7,Y7,H6*AA5+AB5)))</f>
        <v>3</v>
      </c>
      <c r="N7" s="2072"/>
      <c r="O7" s="2480"/>
      <c r="P7" s="2072"/>
      <c r="Q7" s="2522"/>
      <c r="T7" t="s">
        <v>2858</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2859</v>
      </c>
      <c r="U8" s="1">
        <v>2</v>
      </c>
      <c r="V8" s="1">
        <v>1</v>
      </c>
      <c r="W8">
        <f>(U8-U7)/(V8-V7)</f>
        <v>-33.333333333333307</v>
      </c>
      <c r="X8">
        <f>U8-W8*V8</f>
        <v>35.333333333333307</v>
      </c>
      <c r="Y8" s="1">
        <v>2</v>
      </c>
      <c r="Z8" s="1">
        <v>1</v>
      </c>
      <c r="AA8">
        <f>(Y8-Y7)/(Z8-Z7)</f>
        <v>-33.333333333333307</v>
      </c>
      <c r="AB8">
        <f>Y8-AA8*Z8</f>
        <v>35.333333333333307</v>
      </c>
    </row>
    <row r="9" spans="1:28" ht="14.25" thickBot="1">
      <c r="A9" s="2417"/>
      <c r="B9" s="2071"/>
      <c r="C9" s="2072"/>
      <c r="D9" s="2072"/>
      <c r="E9" s="2067" t="s">
        <v>3153</v>
      </c>
      <c r="F9" s="2072"/>
      <c r="G9" s="2128" t="s">
        <v>656</v>
      </c>
      <c r="H9" s="2473" t="s">
        <v>2779</v>
      </c>
      <c r="I9" s="2072" t="s">
        <v>3177</v>
      </c>
      <c r="J9" s="2072"/>
      <c r="K9" s="2072"/>
      <c r="L9" s="2072"/>
      <c r="M9" s="2072"/>
      <c r="N9" s="2072"/>
      <c r="O9" s="2072"/>
      <c r="P9" s="2072"/>
      <c r="Q9" s="2201"/>
      <c r="T9" t="s">
        <v>2779</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3178</v>
      </c>
      <c r="F10" s="3676" t="s">
        <v>3549</v>
      </c>
      <c r="G10" s="3676"/>
      <c r="H10" s="3676"/>
      <c r="I10" s="3676"/>
      <c r="J10" s="3676"/>
      <c r="K10" s="3676"/>
      <c r="L10" s="3676"/>
      <c r="M10" s="3676"/>
      <c r="N10" s="3676"/>
      <c r="O10" s="3676"/>
      <c r="P10" s="3676"/>
      <c r="Q10" s="2201"/>
      <c r="T10" t="s">
        <v>2860</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3176</v>
      </c>
      <c r="F11" s="984" t="s">
        <v>3175</v>
      </c>
      <c r="G11" s="984"/>
      <c r="H11" s="984"/>
      <c r="I11" s="984"/>
      <c r="J11" s="984"/>
      <c r="K11" s="984"/>
      <c r="L11" s="984"/>
      <c r="M11" s="984"/>
      <c r="N11" s="984"/>
      <c r="O11" s="984"/>
      <c r="P11" s="984"/>
      <c r="Q11" s="2201"/>
      <c r="T11" s="2417" t="s">
        <v>3155</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3180</v>
      </c>
      <c r="G12" s="3676" t="s">
        <v>3550</v>
      </c>
      <c r="H12" s="3676"/>
      <c r="I12" s="3676"/>
      <c r="J12" s="3676"/>
      <c r="K12" s="3676"/>
      <c r="L12" s="3676"/>
      <c r="M12" s="3676"/>
      <c r="N12" s="3676"/>
      <c r="O12" s="3676"/>
      <c r="P12" s="3676"/>
      <c r="Q12" s="2201"/>
      <c r="T12" t="s">
        <v>2861</v>
      </c>
      <c r="U12"/>
      <c r="V12"/>
      <c r="W12"/>
      <c r="X12"/>
      <c r="Y12"/>
      <c r="Z12"/>
      <c r="AA12"/>
      <c r="AB12"/>
    </row>
    <row r="13" spans="1:28" s="2417" customFormat="1" ht="20.25" customHeight="1">
      <c r="B13" s="2071"/>
      <c r="C13" s="2072"/>
      <c r="D13" s="2072"/>
      <c r="E13" s="989"/>
      <c r="F13" s="2544" t="s">
        <v>3179</v>
      </c>
      <c r="G13" s="2545" t="s">
        <v>3551</v>
      </c>
      <c r="H13" s="989"/>
      <c r="I13" s="989"/>
      <c r="J13" s="989"/>
      <c r="K13" s="989"/>
      <c r="L13" s="989"/>
      <c r="M13" s="989"/>
      <c r="N13" s="989"/>
      <c r="O13" s="2523"/>
      <c r="P13" s="984"/>
      <c r="Q13" s="2201"/>
      <c r="T13" s="2417" t="s">
        <v>3202</v>
      </c>
    </row>
    <row r="14" spans="1:28" s="2417" customFormat="1" ht="14.25" thickBot="1">
      <c r="B14" s="2071"/>
      <c r="C14" s="2072"/>
      <c r="D14" s="2072"/>
      <c r="E14" s="2067"/>
      <c r="F14" s="2072"/>
      <c r="G14" s="2475" t="s">
        <v>3173</v>
      </c>
      <c r="H14" s="2475" t="s">
        <v>3199</v>
      </c>
      <c r="I14" s="2072"/>
      <c r="J14" s="2072"/>
      <c r="K14" s="2072"/>
      <c r="L14" s="2472"/>
      <c r="M14" s="2072"/>
      <c r="N14" s="2072"/>
      <c r="O14" s="2072"/>
      <c r="P14" s="2072"/>
      <c r="Q14" s="2201"/>
    </row>
    <row r="15" spans="1:28" ht="14.25" thickBot="1">
      <c r="B15" s="2071"/>
      <c r="C15" s="2072"/>
      <c r="D15" s="2072"/>
      <c r="E15" s="2067"/>
      <c r="F15" s="2076" t="s">
        <v>134</v>
      </c>
      <c r="G15" s="3049"/>
      <c r="H15" s="2203">
        <f>IF(G15+G16=0,0,G15/(G15+G16))</f>
        <v>0</v>
      </c>
      <c r="I15" s="2072"/>
      <c r="J15" s="2774">
        <f>IF(H6="",1,IF(J6=Z6,M7,M6))</f>
        <v>3.0000000000000018</v>
      </c>
      <c r="K15" s="2424"/>
      <c r="L15" s="2472"/>
      <c r="M15" s="2072"/>
      <c r="N15" s="2072"/>
      <c r="O15" s="2072"/>
      <c r="P15" s="2072"/>
      <c r="Q15" s="2201"/>
    </row>
    <row r="16" spans="1:28" ht="14.25" thickBot="1">
      <c r="B16" s="2071"/>
      <c r="C16" s="2072"/>
      <c r="D16" s="2072"/>
      <c r="E16" s="2067"/>
      <c r="F16" s="2076" t="s">
        <v>3153</v>
      </c>
      <c r="G16" s="2081">
        <f>IF(H9=T6,0,メイン!C64)</f>
        <v>0</v>
      </c>
      <c r="H16" s="2203">
        <f>IF(G15+G16=0,0,G16/(G15+G16))</f>
        <v>0</v>
      </c>
      <c r="I16" s="2072"/>
      <c r="J16" s="2774">
        <f>IF(H9="",$T12,IF(H9=T11,U11,IF(H9=T10,U10,IF(H9=T9,U9,IF(H9=T8,U8,U7)))))</f>
        <v>3</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4.25" thickBot="1">
      <c r="B18" s="2071"/>
      <c r="C18" s="2072"/>
      <c r="D18" s="2067" t="s">
        <v>1092</v>
      </c>
      <c r="E18" s="2067"/>
      <c r="F18" s="2072"/>
      <c r="G18" s="2076"/>
      <c r="H18" s="2774">
        <f>SUMPRODUCT(H15:H16,J15:J16)</f>
        <v>0</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3151</v>
      </c>
      <c r="D21" s="2067" t="s">
        <v>3522</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4.25" thickBot="1">
      <c r="B23" s="2071"/>
      <c r="C23" s="2072"/>
      <c r="D23" s="2593" t="s">
        <v>3534</v>
      </c>
      <c r="E23" s="2067"/>
      <c r="F23" s="2067"/>
      <c r="G23" s="2602" t="s">
        <v>3428</v>
      </c>
      <c r="H23" s="2603">
        <v>0.8</v>
      </c>
      <c r="I23" s="2601"/>
      <c r="J23" s="2774">
        <f>IF(H35=0,0,IF($H$23&lt;=V35,U35,IF(H23&gt;=V31,U31,H23*W29+X29)))</f>
        <v>3</v>
      </c>
      <c r="K23" s="2424" t="s">
        <v>3535</v>
      </c>
      <c r="L23" s="2472"/>
      <c r="M23" s="2072"/>
      <c r="N23" s="2072"/>
      <c r="O23" s="2072"/>
      <c r="P23" s="2072"/>
      <c r="Q23" s="2201"/>
    </row>
    <row r="24" spans="2:24" s="2687" customFormat="1" hidden="1">
      <c r="B24" s="2594"/>
      <c r="C24" s="2601"/>
      <c r="D24" s="2593"/>
      <c r="E24" s="2853" t="s">
        <v>3371</v>
      </c>
      <c r="F24" s="2593"/>
      <c r="G24" s="2593"/>
      <c r="H24" s="2593"/>
      <c r="I24" s="2593"/>
      <c r="J24" s="2593"/>
      <c r="K24" s="2593"/>
      <c r="L24" s="2593"/>
      <c r="M24" s="2601"/>
      <c r="N24" s="2601"/>
      <c r="O24" s="2601"/>
      <c r="P24" s="2601"/>
      <c r="Q24" s="2596"/>
    </row>
    <row r="25" spans="2:24" s="2687" customFormat="1" hidden="1">
      <c r="B25" s="2594"/>
      <c r="C25" s="2601"/>
      <c r="D25" s="2593"/>
      <c r="E25" s="2854" t="s">
        <v>3374</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customHeight="1" thickBot="1">
      <c r="B27" s="2594"/>
      <c r="C27" s="2601"/>
      <c r="D27" s="2593"/>
      <c r="E27" s="2601" t="s">
        <v>3548</v>
      </c>
      <c r="F27" s="2593"/>
      <c r="G27" s="2076" t="s">
        <v>3428</v>
      </c>
      <c r="H27" s="2603"/>
      <c r="I27" s="2601"/>
      <c r="J27" s="2471" t="s">
        <v>3555</v>
      </c>
      <c r="K27" s="2471"/>
      <c r="L27" s="2471"/>
      <c r="M27" s="2471"/>
      <c r="N27" s="2471"/>
      <c r="O27" s="2471"/>
      <c r="P27" s="2471"/>
      <c r="Q27" s="2596"/>
    </row>
    <row r="28" spans="2:24" s="2687" customFormat="1">
      <c r="B28" s="2594"/>
      <c r="C28" s="2601"/>
      <c r="D28" s="2593"/>
      <c r="E28" s="2601"/>
      <c r="F28" s="2601"/>
      <c r="G28" s="2601"/>
      <c r="H28" s="2601"/>
      <c r="I28" s="2601"/>
      <c r="J28" s="2471" t="s">
        <v>3557</v>
      </c>
      <c r="K28" s="2601"/>
      <c r="L28" s="2601"/>
      <c r="M28" s="2601"/>
      <c r="N28" s="2601"/>
      <c r="O28" s="3050"/>
      <c r="P28" s="3050"/>
      <c r="Q28" s="2596"/>
    </row>
    <row r="29" spans="2:24" s="2687" customFormat="1">
      <c r="B29" s="2594"/>
      <c r="C29" s="2601"/>
      <c r="D29" s="2593"/>
      <c r="E29" s="2601"/>
      <c r="F29" s="2593"/>
      <c r="G29" s="2077"/>
      <c r="H29" s="2852"/>
      <c r="I29" s="2601"/>
      <c r="J29" s="2471" t="s">
        <v>3556</v>
      </c>
      <c r="K29" s="2601"/>
      <c r="L29" s="2472"/>
      <c r="M29" s="2601"/>
      <c r="N29" s="2601"/>
      <c r="O29" s="2601"/>
      <c r="P29" s="2601"/>
      <c r="Q29" s="2596"/>
      <c r="U29" s="2479">
        <f>IF($H$23&lt;=V35,U35,IF($H$23&lt;=V34,U34,IF($H$23&lt;=V33,U33,IF($H$23&lt;=V32,U32,U31))))</f>
        <v>3</v>
      </c>
      <c r="V29"/>
      <c r="W29">
        <f>VLOOKUP($U$29,U31:X35,3)</f>
        <v>-9.9999999999999911</v>
      </c>
      <c r="X29">
        <f>VLOOKUP($U$29,U31:X35,4)</f>
        <v>10.999999999999993</v>
      </c>
    </row>
    <row r="30" spans="2:24" s="2417" customFormat="1" ht="72.599999999999994" customHeight="1">
      <c r="B30" s="2071"/>
      <c r="C30" s="2072"/>
      <c r="D30" s="2067"/>
      <c r="E30" s="3680" t="s">
        <v>3553</v>
      </c>
      <c r="F30" s="3680"/>
      <c r="G30" s="3680"/>
      <c r="H30" s="3680"/>
      <c r="I30" s="3680"/>
      <c r="J30" s="3680"/>
      <c r="K30" s="3680"/>
      <c r="L30" s="3680"/>
      <c r="M30" s="3680"/>
      <c r="N30" s="3680"/>
      <c r="O30" s="3680"/>
      <c r="P30" s="2072"/>
      <c r="Q30" s="2201"/>
      <c r="U30" s="1" t="s">
        <v>2491</v>
      </c>
      <c r="V30" s="1" t="s">
        <v>2341</v>
      </c>
      <c r="W30" t="s">
        <v>2777</v>
      </c>
      <c r="X30" t="s">
        <v>2778</v>
      </c>
    </row>
    <row r="31" spans="2:24" s="2417" customFormat="1">
      <c r="B31" s="2071"/>
      <c r="C31" s="2072"/>
      <c r="D31" s="45" t="s">
        <v>3174</v>
      </c>
      <c r="E31" s="2077"/>
      <c r="F31" s="2076"/>
      <c r="G31" s="2475" t="s">
        <v>3173</v>
      </c>
      <c r="H31" s="2475" t="s">
        <v>3199</v>
      </c>
      <c r="I31" s="2072"/>
      <c r="J31" s="857" t="s">
        <v>3172</v>
      </c>
      <c r="K31" s="2474" t="s">
        <v>3171</v>
      </c>
      <c r="L31" s="857" t="s">
        <v>1643</v>
      </c>
      <c r="M31" s="857" t="s">
        <v>3527</v>
      </c>
      <c r="N31" s="857" t="s">
        <v>1645</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3168</v>
      </c>
      <c r="G32" s="2478">
        <f>メイン!C47+メイン!C49+メイン!E60</f>
        <v>30000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3169</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3170</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3167</v>
      </c>
      <c r="G35" s="2478">
        <f>SUM(G32:G34)</f>
        <v>30000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14.25" thickBot="1">
      <c r="B36" s="2594"/>
      <c r="C36" s="2601"/>
      <c r="D36" s="2601"/>
      <c r="E36" s="2601"/>
      <c r="F36" s="2424"/>
      <c r="G36" s="2424"/>
      <c r="H36" s="2424"/>
      <c r="I36" s="2424"/>
      <c r="J36" s="2546"/>
      <c r="K36" s="2424"/>
      <c r="L36" s="2424"/>
      <c r="M36" s="2424"/>
      <c r="N36" s="2424"/>
      <c r="O36" s="2601"/>
      <c r="P36" s="2601"/>
      <c r="Q36" s="2596"/>
    </row>
    <row r="37" spans="1:24" ht="14.25" thickBot="1">
      <c r="B37" s="2071"/>
      <c r="C37" s="2072"/>
      <c r="D37" s="2067" t="s">
        <v>658</v>
      </c>
      <c r="E37" s="2067"/>
      <c r="F37" s="2067"/>
      <c r="G37" s="2072"/>
      <c r="H37" s="2774">
        <f>IF(H23="",J77,J23)</f>
        <v>3</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680" t="s">
        <v>3554</v>
      </c>
      <c r="E39" s="3680"/>
      <c r="F39" s="3680"/>
      <c r="G39" s="3680"/>
      <c r="H39" s="3680"/>
      <c r="I39" s="3680"/>
      <c r="J39" s="3680"/>
      <c r="K39" s="3680"/>
      <c r="L39" s="3680"/>
      <c r="M39" s="3680"/>
      <c r="N39" s="3680"/>
      <c r="O39" s="3680"/>
      <c r="P39" s="2601"/>
      <c r="Q39" s="2596"/>
    </row>
    <row r="40" spans="1:24" s="2417" customFormat="1" ht="14.25" thickBot="1">
      <c r="B40" s="2071"/>
      <c r="C40" s="2072"/>
      <c r="D40" s="2069" t="s">
        <v>3528</v>
      </c>
      <c r="E40" s="2072"/>
      <c r="F40" s="2067"/>
      <c r="G40" s="2072"/>
      <c r="H40" s="2072"/>
      <c r="I40" s="2072"/>
      <c r="J40" s="2072"/>
      <c r="K40" s="2067"/>
      <c r="L40" s="2067"/>
      <c r="M40" s="2072"/>
      <c r="N40" s="2072"/>
      <c r="O40" s="2067"/>
      <c r="P40" s="2072"/>
      <c r="Q40" s="2201"/>
    </row>
    <row r="41" spans="1:24" s="2417" customFormat="1" ht="14.25" thickBot="1">
      <c r="B41" s="2071"/>
      <c r="C41" s="2072"/>
      <c r="D41" s="2067"/>
      <c r="E41" s="2072"/>
      <c r="F41" s="2067"/>
      <c r="G41" s="2602" t="s">
        <v>3523</v>
      </c>
      <c r="H41" s="2528">
        <v>0.9</v>
      </c>
      <c r="I41" s="2216"/>
      <c r="J41" s="2774" t="e">
        <f>IF(H41="",S41,IF(H41&lt;=V48,U48,IF(H41&gt;=V44,U44,H41*W42+X42)))</f>
        <v>#DIV/0!</v>
      </c>
      <c r="K41" s="2424" t="s">
        <v>3544</v>
      </c>
      <c r="L41" s="2067"/>
      <c r="M41" s="2072"/>
      <c r="N41" s="2072"/>
      <c r="O41" s="2067"/>
      <c r="P41" s="2072"/>
      <c r="Q41" s="2201"/>
      <c r="S41" s="2417" t="s">
        <v>3201</v>
      </c>
    </row>
    <row r="42" spans="1:24" s="2417" customFormat="1">
      <c r="B42" s="2071"/>
      <c r="C42" s="2072"/>
      <c r="D42" s="2067"/>
      <c r="E42" s="2077" t="s">
        <v>3532</v>
      </c>
      <c r="F42" s="2067"/>
      <c r="G42" s="2072"/>
      <c r="H42" s="2072"/>
      <c r="I42" s="2072"/>
      <c r="J42" s="2072"/>
      <c r="K42" s="2067"/>
      <c r="L42" s="2067"/>
      <c r="M42" s="2072"/>
      <c r="N42" s="2072"/>
      <c r="O42" s="2067"/>
      <c r="P42" s="2072"/>
      <c r="Q42" s="2201"/>
      <c r="U42" s="2479" t="e">
        <f>IF($H$41&lt;=V48,U48,IF($H$41&lt;=V47,U47,IF($H$41&lt;=V46,U46,IF($H$41&lt;=V45,U45,U44))))</f>
        <v>#DIV/0!</v>
      </c>
      <c r="W42" s="2417" t="e">
        <f>VLOOKUP($U$42,U44:X48,3)</f>
        <v>#DIV/0!</v>
      </c>
      <c r="X42" s="2417" t="e">
        <f>VLOOKUP($U$42,U44:X48,4)</f>
        <v>#DIV/0!</v>
      </c>
    </row>
    <row r="43" spans="1:24" s="2417" customFormat="1">
      <c r="B43" s="2071"/>
      <c r="C43" s="2072"/>
      <c r="D43" s="45"/>
      <c r="E43" s="2076"/>
      <c r="F43" s="2475" t="s">
        <v>3173</v>
      </c>
      <c r="G43" s="2475" t="s">
        <v>3531</v>
      </c>
      <c r="H43" s="2475" t="s">
        <v>3199</v>
      </c>
      <c r="I43" s="2072"/>
      <c r="J43" s="857" t="s">
        <v>3172</v>
      </c>
      <c r="K43" s="2474" t="s">
        <v>3171</v>
      </c>
      <c r="L43" s="857" t="s">
        <v>1643</v>
      </c>
      <c r="M43" s="857" t="s">
        <v>1644</v>
      </c>
      <c r="N43" s="857" t="s">
        <v>1645</v>
      </c>
      <c r="O43" s="2067"/>
      <c r="P43" s="2072"/>
      <c r="Q43" s="2201"/>
      <c r="U43" s="1" t="s">
        <v>1155</v>
      </c>
      <c r="V43" s="1" t="s">
        <v>2341</v>
      </c>
      <c r="W43" s="2417" t="s">
        <v>2777</v>
      </c>
      <c r="X43" s="2417" t="s">
        <v>2778</v>
      </c>
    </row>
    <row r="44" spans="1:24" s="2417" customFormat="1">
      <c r="B44" s="2071"/>
      <c r="C44" s="2072"/>
      <c r="D44" s="45"/>
      <c r="E44" s="2076" t="s">
        <v>3168</v>
      </c>
      <c r="F44" s="2478">
        <f>G32</f>
        <v>30000</v>
      </c>
      <c r="G44" s="3049"/>
      <c r="H44" s="2288" t="e">
        <f>G44/G47</f>
        <v>#DIV/0!</v>
      </c>
      <c r="I44" s="2072"/>
      <c r="J44" s="2476">
        <v>1.1000000000000001</v>
      </c>
      <c r="K44" s="2477">
        <v>1</v>
      </c>
      <c r="L44" s="2476">
        <v>0.8</v>
      </c>
      <c r="M44" s="2476">
        <v>0.7</v>
      </c>
      <c r="N44" s="2476">
        <v>0.6</v>
      </c>
      <c r="O44" s="2067"/>
      <c r="P44" s="2072"/>
      <c r="Q44" s="2201"/>
      <c r="U44" s="1">
        <v>1</v>
      </c>
      <c r="V44" s="2354" t="e">
        <f>J47</f>
        <v>#DIV/0!</v>
      </c>
      <c r="W44" s="2417" t="e">
        <f>(U45-U44)/(V45-V44)</f>
        <v>#DIV/0!</v>
      </c>
      <c r="X44" s="2417" t="e">
        <f>U45-W44*V45</f>
        <v>#DIV/0!</v>
      </c>
    </row>
    <row r="45" spans="1:24" s="2417" customFormat="1">
      <c r="B45" s="2071"/>
      <c r="C45" s="2072"/>
      <c r="D45" s="2067"/>
      <c r="E45" s="2076" t="s">
        <v>3169</v>
      </c>
      <c r="F45" s="2478">
        <f>G33</f>
        <v>0</v>
      </c>
      <c r="G45" s="3049"/>
      <c r="H45" s="2288" t="e">
        <f>G45/G47</f>
        <v>#DIV/0!</v>
      </c>
      <c r="I45" s="2072"/>
      <c r="J45" s="2476">
        <v>1.1000000000000001</v>
      </c>
      <c r="K45" s="2477">
        <v>1</v>
      </c>
      <c r="L45" s="2476">
        <v>0.8</v>
      </c>
      <c r="M45" s="2476">
        <v>0.75</v>
      </c>
      <c r="N45" s="2476">
        <v>0.7</v>
      </c>
      <c r="O45" s="2067"/>
      <c r="P45" s="2072"/>
      <c r="Q45" s="2201"/>
      <c r="U45" s="1">
        <v>2</v>
      </c>
      <c r="V45" s="2354" t="e">
        <f>K47</f>
        <v>#DIV/0!</v>
      </c>
      <c r="W45" s="2417" t="e">
        <f>(U46-U45)/(V46-V45)</f>
        <v>#DIV/0!</v>
      </c>
      <c r="X45" s="2417" t="e">
        <f>U46-W45*V46</f>
        <v>#DIV/0!</v>
      </c>
    </row>
    <row r="46" spans="1:24" s="2417" customFormat="1">
      <c r="B46" s="2071"/>
      <c r="C46" s="2072"/>
      <c r="D46" s="2067"/>
      <c r="E46" s="2076" t="s">
        <v>3524</v>
      </c>
      <c r="F46" s="2478">
        <f>メイン!C64</f>
        <v>0</v>
      </c>
      <c r="G46" s="3049"/>
      <c r="H46" s="2288" t="e">
        <f>G46/G47</f>
        <v>#DIV/0!</v>
      </c>
      <c r="I46" s="2072"/>
      <c r="J46" s="2476">
        <v>1.2</v>
      </c>
      <c r="K46" s="2477">
        <v>1.1000000000000001</v>
      </c>
      <c r="L46" s="2476">
        <v>1</v>
      </c>
      <c r="M46" s="2476">
        <v>0.9</v>
      </c>
      <c r="N46" s="2476">
        <v>0.85</v>
      </c>
      <c r="O46" s="2067"/>
      <c r="P46" s="2072"/>
      <c r="Q46" s="2201"/>
      <c r="U46" s="1">
        <v>3</v>
      </c>
      <c r="V46" s="2354" t="e">
        <f>L47</f>
        <v>#DIV/0!</v>
      </c>
      <c r="W46" s="2417" t="e">
        <f>(U47-U46)/(V47-V46)</f>
        <v>#DIV/0!</v>
      </c>
      <c r="X46" s="2417" t="e">
        <f>U47-W46*V47</f>
        <v>#DIV/0!</v>
      </c>
    </row>
    <row r="47" spans="1:24" s="2417" customFormat="1">
      <c r="B47" s="2071"/>
      <c r="C47" s="2072"/>
      <c r="D47" s="2067"/>
      <c r="E47" s="2216" t="s">
        <v>3536</v>
      </c>
      <c r="F47" s="2478">
        <f>SUM(F44:F46)</f>
        <v>30000</v>
      </c>
      <c r="G47" s="2478">
        <f>SUM(G44:G46)</f>
        <v>0</v>
      </c>
      <c r="H47" s="2478" t="e">
        <f>SUM(H44:H46)</f>
        <v>#DIV/0!</v>
      </c>
      <c r="I47" s="2072"/>
      <c r="J47" s="2476" t="e">
        <f>SUMPRODUCT(J44:J46,$H$44:$H$46)</f>
        <v>#DIV/0!</v>
      </c>
      <c r="K47" s="2477" t="e">
        <f>SUMPRODUCT(K44:K46,$H$44:$H$46)</f>
        <v>#DIV/0!</v>
      </c>
      <c r="L47" s="2476" t="e">
        <f>SUMPRODUCT(L44:L46,$H$44:$H$46)</f>
        <v>#DIV/0!</v>
      </c>
      <c r="M47" s="2476" t="e">
        <f>SUMPRODUCT(M44:M46,$H$44:$H$46)</f>
        <v>#DIV/0!</v>
      </c>
      <c r="N47" s="2476" t="e">
        <f>SUMPRODUCT(N44:N46,$H$44:$H$46)</f>
        <v>#DIV/0!</v>
      </c>
      <c r="O47" s="2067"/>
      <c r="P47" s="2072"/>
      <c r="Q47" s="2201"/>
      <c r="U47" s="1">
        <v>4</v>
      </c>
      <c r="V47" s="2354" t="e">
        <f>M47</f>
        <v>#DIV/0!</v>
      </c>
      <c r="W47" s="2417" t="e">
        <f>(U48-U47)/(V48-V47)</f>
        <v>#DIV/0!</v>
      </c>
      <c r="X47" s="2417" t="e">
        <f>U48-W47*V48</f>
        <v>#DIV/0!</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t="e">
        <f>N47</f>
        <v>#DIV/0!</v>
      </c>
    </row>
    <row r="49" spans="2:24" s="2687" customFormat="1" ht="14.25" thickBot="1">
      <c r="B49" s="2594"/>
      <c r="C49" s="2601"/>
      <c r="D49" s="2069" t="s">
        <v>3529</v>
      </c>
      <c r="E49" s="2601"/>
      <c r="F49" s="2593"/>
      <c r="G49" s="2601"/>
      <c r="H49" s="2601"/>
      <c r="I49" s="2601"/>
      <c r="J49" s="2601"/>
      <c r="K49" s="2593"/>
      <c r="L49" s="2593"/>
      <c r="M49" s="2601"/>
      <c r="N49" s="2601"/>
      <c r="O49" s="2593"/>
      <c r="P49" s="2601"/>
      <c r="Q49" s="2596"/>
    </row>
    <row r="50" spans="2:24" s="2687" customFormat="1" ht="14.25" thickBot="1">
      <c r="B50" s="2594"/>
      <c r="C50" s="2601"/>
      <c r="D50" s="2593"/>
      <c r="E50" s="2601"/>
      <c r="F50" s="2593"/>
      <c r="G50" s="2602" t="s">
        <v>3530</v>
      </c>
      <c r="H50" s="2603">
        <v>0.8</v>
      </c>
      <c r="I50" s="2602"/>
      <c r="J50" s="2774" t="e">
        <f>IF(H50="",S50,IF(H50&lt;=V57,U57,IF(H50&gt;=V53,U53,H50*W51+X51)))</f>
        <v>#DIV/0!</v>
      </c>
      <c r="K50" s="2593"/>
      <c r="L50" s="2593"/>
      <c r="M50" s="2601"/>
      <c r="N50" s="2601"/>
      <c r="O50" s="2593"/>
      <c r="P50" s="2601"/>
      <c r="Q50" s="2596"/>
      <c r="S50" s="2687" t="s">
        <v>3201</v>
      </c>
    </row>
    <row r="51" spans="2:24" s="2687" customFormat="1">
      <c r="B51" s="2594"/>
      <c r="C51" s="2601"/>
      <c r="D51" s="2593"/>
      <c r="E51" s="2077" t="s">
        <v>3532</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3173</v>
      </c>
      <c r="G52" s="2475" t="s">
        <v>3531</v>
      </c>
      <c r="H52" s="2475" t="s">
        <v>3199</v>
      </c>
      <c r="I52" s="2601"/>
      <c r="J52" s="857" t="s">
        <v>3172</v>
      </c>
      <c r="K52" s="2474" t="s">
        <v>3171</v>
      </c>
      <c r="L52" s="857" t="s">
        <v>1643</v>
      </c>
      <c r="M52" s="857" t="s">
        <v>1644</v>
      </c>
      <c r="N52" s="857" t="s">
        <v>1645</v>
      </c>
      <c r="O52" s="2593"/>
      <c r="P52" s="2601"/>
      <c r="Q52" s="2596"/>
      <c r="U52" s="1" t="s">
        <v>1155</v>
      </c>
      <c r="V52" s="1" t="s">
        <v>2341</v>
      </c>
      <c r="W52" s="2687" t="s">
        <v>2777</v>
      </c>
      <c r="X52" s="2687" t="s">
        <v>2778</v>
      </c>
    </row>
    <row r="53" spans="2:24" s="2687" customFormat="1">
      <c r="B53" s="2594"/>
      <c r="C53" s="2601"/>
      <c r="D53" s="2593"/>
      <c r="E53" s="2076" t="s">
        <v>3168</v>
      </c>
      <c r="F53" s="2478">
        <f>F44</f>
        <v>30000</v>
      </c>
      <c r="G53" s="3049"/>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3169</v>
      </c>
      <c r="F54" s="2478">
        <f>F45</f>
        <v>0</v>
      </c>
      <c r="G54" s="3049"/>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1905</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3536</v>
      </c>
      <c r="F56" s="2478">
        <f>SUM(F53:F55)</f>
        <v>30000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c r="B57" s="2594"/>
      <c r="C57" s="2601"/>
      <c r="D57" s="2593"/>
      <c r="E57" s="2602"/>
      <c r="F57" s="3045"/>
      <c r="G57" s="3045"/>
      <c r="H57" s="3046"/>
      <c r="I57" s="2601"/>
      <c r="J57" s="3047"/>
      <c r="K57" s="3047"/>
      <c r="L57" s="3047"/>
      <c r="M57" s="3047"/>
      <c r="N57" s="3047"/>
      <c r="O57" s="2593"/>
      <c r="P57" s="2601"/>
      <c r="Q57" s="2596"/>
      <c r="U57" s="1">
        <v>5</v>
      </c>
      <c r="V57" s="2354" t="e">
        <f>N56</f>
        <v>#DIV/0!</v>
      </c>
    </row>
    <row r="58" spans="2:24" s="2687" customFormat="1">
      <c r="B58" s="2594"/>
      <c r="C58" s="2601"/>
      <c r="D58" s="2593" t="s">
        <v>3533</v>
      </c>
      <c r="E58" s="2601"/>
      <c r="F58" s="2593"/>
      <c r="G58" s="2601"/>
      <c r="H58" s="2601"/>
      <c r="I58" s="2601"/>
      <c r="J58" s="2601"/>
      <c r="K58" s="2601"/>
      <c r="L58" s="2601"/>
      <c r="M58" s="2601"/>
      <c r="N58" s="2601"/>
      <c r="O58" s="2601"/>
      <c r="P58" s="2601"/>
      <c r="Q58" s="2596"/>
    </row>
    <row r="59" spans="2:24">
      <c r="B59" s="2071"/>
      <c r="C59" s="2072"/>
      <c r="D59" s="2072"/>
      <c r="E59" s="2601" t="s">
        <v>3525</v>
      </c>
      <c r="F59" s="2069"/>
      <c r="G59" s="2069"/>
      <c r="H59" s="2069"/>
      <c r="I59" s="2069"/>
      <c r="J59" s="2069"/>
      <c r="K59" s="2069"/>
      <c r="L59" s="2069"/>
      <c r="M59" s="2072"/>
      <c r="N59" s="2072"/>
      <c r="O59" s="2072"/>
      <c r="P59" s="2072"/>
      <c r="Q59" s="2201"/>
      <c r="S59" s="2242" t="s">
        <v>2924</v>
      </c>
    </row>
    <row r="60" spans="2:24" ht="13.5" customHeight="1">
      <c r="B60" s="2071"/>
      <c r="C60" s="2072"/>
      <c r="D60" s="2072"/>
      <c r="E60" s="3675" t="s">
        <v>3184</v>
      </c>
      <c r="F60" s="3675"/>
      <c r="G60" s="3675"/>
      <c r="H60" s="3675"/>
      <c r="I60" s="3675"/>
      <c r="J60" s="3675"/>
      <c r="K60" s="3675"/>
      <c r="L60" s="3675"/>
      <c r="M60" s="3675"/>
      <c r="N60" s="3675"/>
      <c r="O60" s="3675"/>
      <c r="P60" s="2072"/>
      <c r="Q60" s="2201"/>
      <c r="S60">
        <v>1</v>
      </c>
    </row>
    <row r="61" spans="2:24" ht="31.5" customHeight="1" thickBot="1">
      <c r="B61" s="2071"/>
      <c r="C61" s="2072"/>
      <c r="D61" s="2072"/>
      <c r="E61" s="3675"/>
      <c r="F61" s="3675"/>
      <c r="G61" s="3675"/>
      <c r="H61" s="3675"/>
      <c r="I61" s="3675"/>
      <c r="J61" s="3675"/>
      <c r="K61" s="3675"/>
      <c r="L61" s="3675"/>
      <c r="M61" s="3675"/>
      <c r="N61" s="3675"/>
      <c r="O61" s="3675"/>
      <c r="P61" s="2072"/>
      <c r="Q61" s="2201"/>
      <c r="S61">
        <v>3</v>
      </c>
    </row>
    <row r="62" spans="2:24" ht="14.25" thickBot="1">
      <c r="B62" s="2071"/>
      <c r="C62" s="2072"/>
      <c r="D62" s="2072"/>
      <c r="E62" s="2483" t="s">
        <v>2931</v>
      </c>
      <c r="F62" s="3677" t="s">
        <v>2924</v>
      </c>
      <c r="G62" s="3678"/>
      <c r="H62" s="3679"/>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4.25" thickBot="1">
      <c r="B64" s="2071"/>
      <c r="C64" s="2072"/>
      <c r="D64" s="2072"/>
      <c r="E64" s="2483" t="s">
        <v>2342</v>
      </c>
      <c r="F64" s="2068"/>
      <c r="G64" s="2072"/>
      <c r="H64" s="2072"/>
      <c r="I64" s="2072"/>
      <c r="J64" s="2067"/>
      <c r="K64" s="2483" t="s">
        <v>2343</v>
      </c>
      <c r="L64" s="2068"/>
      <c r="M64" s="2072"/>
      <c r="N64" s="2072"/>
      <c r="O64" s="2072"/>
      <c r="P64" s="2072"/>
      <c r="Q64" s="2201"/>
      <c r="S64" t="s">
        <v>2336</v>
      </c>
      <c r="T64" t="s">
        <v>2334</v>
      </c>
    </row>
    <row r="65" spans="1:27">
      <c r="B65" s="2071"/>
      <c r="C65" s="2072"/>
      <c r="D65" s="2072"/>
      <c r="E65" s="2072"/>
      <c r="F65" s="2424" t="s">
        <v>2925</v>
      </c>
      <c r="G65" s="2424"/>
      <c r="H65" s="2424"/>
      <c r="I65" s="2424"/>
      <c r="J65" s="2546"/>
      <c r="K65" s="2546"/>
      <c r="L65" s="2424" t="s">
        <v>2929</v>
      </c>
      <c r="M65" s="2424"/>
      <c r="N65" s="2424"/>
      <c r="O65" s="2072"/>
      <c r="P65" s="2072"/>
      <c r="Q65" s="2201"/>
      <c r="S65" t="s">
        <v>2338</v>
      </c>
      <c r="T65" t="s">
        <v>2337</v>
      </c>
    </row>
    <row r="66" spans="1:27">
      <c r="B66" s="2071"/>
      <c r="C66" s="2072"/>
      <c r="D66" s="2072"/>
      <c r="E66" s="2072"/>
      <c r="F66" s="2424" t="s">
        <v>2926</v>
      </c>
      <c r="G66" s="2424"/>
      <c r="H66" s="2424"/>
      <c r="I66" s="2424"/>
      <c r="J66" s="2546"/>
      <c r="K66" s="2546"/>
      <c r="L66" s="2424" t="s">
        <v>2930</v>
      </c>
      <c r="M66" s="2424"/>
      <c r="N66" s="2424"/>
      <c r="O66" s="2072"/>
      <c r="P66" s="2072"/>
      <c r="Q66" s="2201"/>
      <c r="S66" t="s">
        <v>2339</v>
      </c>
      <c r="T66" t="s">
        <v>2346</v>
      </c>
    </row>
    <row r="67" spans="1:27">
      <c r="B67" s="2071"/>
      <c r="C67" s="2072"/>
      <c r="D67" s="2072"/>
      <c r="E67" s="2072"/>
      <c r="F67" s="2424" t="s">
        <v>2927</v>
      </c>
      <c r="G67" s="2424"/>
      <c r="H67" s="2424"/>
      <c r="I67" s="2424"/>
      <c r="J67" s="2546"/>
      <c r="K67" s="2546"/>
      <c r="L67" s="2424" t="s">
        <v>2928</v>
      </c>
      <c r="M67" s="2424"/>
      <c r="N67" s="2424"/>
      <c r="O67" s="2072"/>
      <c r="P67" s="2072"/>
      <c r="Q67" s="2201"/>
      <c r="S67" t="s">
        <v>2346</v>
      </c>
    </row>
    <row r="68" spans="1:27">
      <c r="B68" s="2071"/>
      <c r="C68" s="2072"/>
      <c r="D68" s="2072"/>
      <c r="E68" s="2072"/>
      <c r="F68" s="2424" t="s">
        <v>2928</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4.25" hidden="1" thickBot="1">
      <c r="A69" s="2417"/>
      <c r="B69" s="2071"/>
      <c r="C69" s="2072"/>
      <c r="D69" s="2067"/>
      <c r="E69" s="2072"/>
      <c r="F69" s="2067"/>
      <c r="G69" s="2072"/>
      <c r="H69" s="3040"/>
      <c r="I69" s="3041" t="s">
        <v>3198</v>
      </c>
      <c r="J69" s="3042">
        <v>0.8</v>
      </c>
      <c r="K69" s="2424"/>
      <c r="L69" s="2067"/>
      <c r="M69" s="2072"/>
      <c r="N69" s="2072"/>
      <c r="O69" s="2067"/>
      <c r="P69" s="2072"/>
      <c r="Q69" s="2596"/>
      <c r="R69" s="2417"/>
    </row>
    <row r="70" spans="1:27" s="2687" customFormat="1">
      <c r="B70" s="2594"/>
      <c r="C70" s="2601"/>
      <c r="D70" s="2593"/>
      <c r="E70" s="2077" t="s">
        <v>3541</v>
      </c>
      <c r="F70" s="2593"/>
      <c r="G70" s="3049"/>
      <c r="H70" s="2601" t="s">
        <v>3542</v>
      </c>
      <c r="I70" s="2601"/>
      <c r="J70" s="2601" t="s">
        <v>3543</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3537</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4.25" thickBot="1">
      <c r="B73" s="2594"/>
      <c r="C73" s="2601"/>
      <c r="D73" s="2077"/>
      <c r="E73" s="2601"/>
      <c r="F73" s="2077"/>
      <c r="G73" s="2475" t="s">
        <v>3531</v>
      </c>
      <c r="H73" s="2475" t="s">
        <v>3199</v>
      </c>
      <c r="I73" s="2601"/>
      <c r="J73" s="2593"/>
      <c r="K73" s="2593"/>
      <c r="L73" s="2593"/>
      <c r="M73" s="2593"/>
      <c r="N73" s="2601"/>
      <c r="O73" s="2593"/>
      <c r="P73" s="2601"/>
      <c r="Q73" s="2596"/>
    </row>
    <row r="74" spans="1:27" s="2417" customFormat="1" ht="14.25" thickBot="1">
      <c r="B74" s="2071"/>
      <c r="C74" s="2072"/>
      <c r="D74" s="2067"/>
      <c r="E74" s="2601"/>
      <c r="F74" s="2076" t="s">
        <v>3538</v>
      </c>
      <c r="G74" s="2478">
        <f>G47</f>
        <v>0</v>
      </c>
      <c r="H74" s="2288" t="e">
        <f>G74/G$77</f>
        <v>#DIV/0!</v>
      </c>
      <c r="I74" s="2072"/>
      <c r="J74" s="2774" t="e">
        <f>J41</f>
        <v>#DIV/0!</v>
      </c>
      <c r="K74" s="2067"/>
      <c r="L74" s="2067"/>
      <c r="M74" s="2067"/>
      <c r="N74" s="2072"/>
      <c r="O74" s="2067"/>
      <c r="P74" s="2072"/>
      <c r="Q74" s="2596"/>
      <c r="S74" s="2687"/>
      <c r="T74" s="2687"/>
      <c r="U74" s="2687"/>
      <c r="V74" s="2687"/>
      <c r="W74" s="2687"/>
      <c r="X74" s="2687"/>
      <c r="Y74" s="2687"/>
      <c r="Z74" s="2687"/>
      <c r="AA74" s="2687"/>
    </row>
    <row r="75" spans="1:27" s="2687" customFormat="1" ht="14.25" thickBot="1">
      <c r="B75" s="2594"/>
      <c r="C75" s="2601"/>
      <c r="D75" s="2593"/>
      <c r="E75" s="2601"/>
      <c r="F75" s="2076" t="s">
        <v>3539</v>
      </c>
      <c r="G75" s="2478">
        <f>G56</f>
        <v>0</v>
      </c>
      <c r="H75" s="2288" t="e">
        <f t="shared" ref="H75:H76" si="1">G75/G$77</f>
        <v>#DIV/0!</v>
      </c>
      <c r="I75" s="2601"/>
      <c r="J75" s="2774" t="e">
        <f>J50</f>
        <v>#DIV/0!</v>
      </c>
      <c r="K75" s="2593"/>
      <c r="L75" s="2593"/>
      <c r="M75" s="2593"/>
      <c r="N75" s="2601"/>
      <c r="O75" s="2593"/>
      <c r="P75" s="2601"/>
      <c r="Q75" s="2596"/>
      <c r="S75" s="2417"/>
      <c r="T75" s="2417"/>
    </row>
    <row r="76" spans="1:27" s="2417" customFormat="1" ht="14.25" thickBot="1">
      <c r="B76" s="2071"/>
      <c r="C76" s="2072"/>
      <c r="D76" s="2067"/>
      <c r="E76" s="2601"/>
      <c r="F76" s="2076" t="s">
        <v>3540</v>
      </c>
      <c r="G76" s="2478">
        <f>G70</f>
        <v>0</v>
      </c>
      <c r="H76" s="2288" t="e">
        <f t="shared" si="1"/>
        <v>#DIV/0!</v>
      </c>
      <c r="I76" s="2072"/>
      <c r="J76" s="2775"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4.25" thickBot="1">
      <c r="B77" s="2071"/>
      <c r="C77" s="2072"/>
      <c r="D77" s="2067"/>
      <c r="E77" s="2601"/>
      <c r="F77" s="2602" t="s">
        <v>3545</v>
      </c>
      <c r="G77" s="2478">
        <f>SUM(G74:G76)</f>
        <v>0</v>
      </c>
      <c r="H77" s="2478" t="e">
        <f>SUM(H74:H76)</f>
        <v>#DIV/0!</v>
      </c>
      <c r="I77" s="2072"/>
      <c r="J77" s="2774">
        <f>IF(G77=0,0,SUMPRODUCT(H74:H76,J74:J76))</f>
        <v>0</v>
      </c>
      <c r="K77" s="3048" t="str">
        <f>IF(G77&lt;&gt;G35,"建物全体の面積と評価対象面積の合計があっていません。","")</f>
        <v>建物全体の面積と評価対象面積の合計があっていません。</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3337</v>
      </c>
      <c r="D79" s="2593" t="s">
        <v>3526</v>
      </c>
      <c r="E79" s="2601"/>
      <c r="F79" s="2593"/>
      <c r="G79" s="2601"/>
      <c r="H79" s="2591"/>
      <c r="I79" s="2601"/>
      <c r="J79" s="2593"/>
      <c r="K79" s="2593"/>
      <c r="L79" s="2593"/>
      <c r="M79" s="2601"/>
      <c r="N79" s="2601"/>
      <c r="O79" s="2593"/>
      <c r="P79" s="2601"/>
      <c r="Q79" s="2596"/>
    </row>
    <row r="80" spans="1:27" s="2592" customFormat="1">
      <c r="B80" s="2594"/>
      <c r="C80" s="2202"/>
      <c r="D80" s="2769"/>
      <c r="E80" s="2593"/>
      <c r="F80" s="2593"/>
      <c r="G80" s="2595"/>
      <c r="H80" s="2591"/>
      <c r="I80" s="2595"/>
      <c r="J80" s="2600" t="s">
        <v>134</v>
      </c>
      <c r="K80" s="2599" t="s">
        <v>3153</v>
      </c>
      <c r="L80" s="2598"/>
      <c r="M80" s="2598"/>
      <c r="N80" s="2600" t="s">
        <v>480</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3200</v>
      </c>
      <c r="L81" s="2734" t="s">
        <v>3552</v>
      </c>
      <c r="M81" s="3043" t="s">
        <v>3212</v>
      </c>
      <c r="N81" s="2604"/>
      <c r="O81" s="2546"/>
      <c r="P81" s="2072"/>
      <c r="Q81" s="2596"/>
    </row>
    <row r="82" spans="1:23" s="2687" customFormat="1" ht="14.25" customHeight="1">
      <c r="B82" s="2594"/>
      <c r="C82" s="2601"/>
      <c r="D82" s="45" t="s">
        <v>3210</v>
      </c>
      <c r="E82" s="45"/>
      <c r="F82" s="2072"/>
      <c r="G82" s="2072"/>
      <c r="H82" s="2072"/>
      <c r="I82" s="2072"/>
      <c r="J82" s="2214"/>
      <c r="K82" s="3044"/>
      <c r="L82" s="3044"/>
      <c r="M82" s="3044"/>
      <c r="N82" s="2079">
        <f>SUM(J82:M82)</f>
        <v>0</v>
      </c>
      <c r="O82" s="2424" t="s">
        <v>657</v>
      </c>
      <c r="P82" s="2601"/>
      <c r="Q82" s="2596"/>
    </row>
    <row r="83" spans="1:23" s="2687" customFormat="1" ht="14.25" customHeight="1">
      <c r="B83" s="2594"/>
      <c r="C83" s="2601"/>
      <c r="D83" s="45" t="s">
        <v>3211</v>
      </c>
      <c r="E83" s="45"/>
      <c r="F83" s="2072"/>
      <c r="G83" s="2072"/>
      <c r="H83" s="2072"/>
      <c r="I83" s="2072"/>
      <c r="J83" s="2214"/>
      <c r="K83" s="3044"/>
      <c r="L83" s="3044"/>
      <c r="M83" s="3044"/>
      <c r="N83" s="2079">
        <f>SUM(J83:M83)</f>
        <v>0</v>
      </c>
      <c r="O83" s="2072"/>
      <c r="P83" s="2601"/>
      <c r="Q83" s="2596"/>
    </row>
    <row r="84" spans="1:23">
      <c r="A84" s="2417"/>
      <c r="B84" s="2071"/>
      <c r="C84" s="2072"/>
      <c r="D84" s="45" t="s">
        <v>3205</v>
      </c>
      <c r="E84" s="2072"/>
      <c r="F84" s="2072"/>
      <c r="G84" s="2072"/>
      <c r="H84" s="2072"/>
      <c r="I84" s="2076" t="s">
        <v>3207</v>
      </c>
      <c r="J84" s="3044"/>
      <c r="K84" s="3044"/>
      <c r="L84" s="3044"/>
      <c r="M84" s="3043"/>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3206</v>
      </c>
      <c r="J85" s="3044"/>
      <c r="K85" s="3044"/>
      <c r="L85" s="3044"/>
      <c r="M85" s="3043"/>
      <c r="N85" s="2079">
        <f>SUM(J85:L85)</f>
        <v>0</v>
      </c>
      <c r="O85" s="2424"/>
      <c r="P85" s="2072"/>
      <c r="Q85" s="2596"/>
    </row>
    <row r="86" spans="1:23" s="2687" customFormat="1">
      <c r="B86" s="2594"/>
      <c r="C86" s="2601"/>
      <c r="D86" s="45"/>
      <c r="E86" s="2471" t="s">
        <v>3208</v>
      </c>
      <c r="F86" s="2601"/>
      <c r="G86" s="2601"/>
      <c r="H86" s="2601"/>
      <c r="I86" s="2601"/>
      <c r="J86" s="2601"/>
      <c r="K86" s="2601"/>
      <c r="L86" s="2601"/>
      <c r="M86" s="2601"/>
      <c r="N86" s="2601"/>
      <c r="O86" s="2601"/>
      <c r="P86" s="2601"/>
      <c r="Q86" s="2596"/>
    </row>
    <row r="87" spans="1:23" ht="39" customHeight="1">
      <c r="B87" s="2071"/>
      <c r="C87" s="2072"/>
      <c r="D87" s="2072"/>
      <c r="E87" s="2481" t="s">
        <v>3509</v>
      </c>
      <c r="F87" s="3675" t="s">
        <v>3510</v>
      </c>
      <c r="G87" s="3675"/>
      <c r="H87" s="3675"/>
      <c r="I87" s="3675"/>
      <c r="J87" s="3675"/>
      <c r="K87" s="3675"/>
      <c r="L87" s="3675"/>
      <c r="M87" s="3675"/>
      <c r="N87" s="3675"/>
      <c r="O87" s="3675"/>
      <c r="P87" s="3675"/>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2181</v>
      </c>
      <c r="D90" s="2210"/>
      <c r="E90" s="2210"/>
      <c r="F90" s="2210"/>
      <c r="G90" s="2210"/>
      <c r="H90" s="2210"/>
      <c r="I90" s="2210"/>
      <c r="J90" s="2210"/>
      <c r="K90" s="2210"/>
      <c r="L90" s="2210"/>
      <c r="M90" s="2210"/>
      <c r="N90" s="2211"/>
      <c r="O90" s="2212"/>
      <c r="P90" s="2211"/>
      <c r="Q90" s="2213"/>
    </row>
    <row r="91" spans="1:23">
      <c r="B91" s="2075"/>
      <c r="C91" s="855" t="s">
        <v>3204</v>
      </c>
      <c r="D91" s="855"/>
      <c r="E91" s="2072"/>
      <c r="F91" s="2072"/>
      <c r="G91" s="2067"/>
      <c r="H91" s="2072"/>
      <c r="I91" s="2072"/>
      <c r="J91" s="2072"/>
      <c r="K91" s="2072"/>
      <c r="L91" s="2072"/>
      <c r="M91" s="2072"/>
      <c r="N91" s="2072" t="s">
        <v>2395</v>
      </c>
      <c r="O91" s="2072"/>
      <c r="P91" s="2313" t="s">
        <v>2396</v>
      </c>
      <c r="Q91" s="2194"/>
    </row>
    <row r="92" spans="1:23">
      <c r="B92" s="2075"/>
      <c r="C92" s="855"/>
      <c r="D92" s="2067" t="s">
        <v>134</v>
      </c>
      <c r="E92" s="2067"/>
      <c r="F92" s="2076" t="s">
        <v>3203</v>
      </c>
      <c r="G92" s="2078" t="str">
        <f>IF(H27="",S92,H27)</f>
        <v>BEI未入力</v>
      </c>
      <c r="H92" s="2072"/>
      <c r="I92" s="2072"/>
      <c r="J92" s="2077" t="s">
        <v>3158</v>
      </c>
      <c r="K92" s="2072"/>
      <c r="L92" s="2074" t="s">
        <v>135</v>
      </c>
      <c r="M92" s="2072"/>
      <c r="N92" s="2287" t="s">
        <v>657</v>
      </c>
      <c r="O92" s="860"/>
      <c r="P92" s="2287" t="s">
        <v>657</v>
      </c>
      <c r="Q92" s="854"/>
      <c r="S92" s="2687" t="s">
        <v>3201</v>
      </c>
    </row>
    <row r="93" spans="1:23">
      <c r="B93" s="2075"/>
      <c r="C93" s="855"/>
      <c r="D93" s="855"/>
      <c r="E93" s="855"/>
      <c r="F93" s="2076" t="s">
        <v>3156</v>
      </c>
      <c r="G93" s="2078">
        <f>J85</f>
        <v>0</v>
      </c>
      <c r="H93" s="2547" t="s">
        <v>657</v>
      </c>
      <c r="I93" s="2072"/>
      <c r="J93" s="2079">
        <f>(H117*N117+N118*H118)/1000</f>
        <v>0</v>
      </c>
      <c r="K93" s="2547" t="s">
        <v>657</v>
      </c>
      <c r="L93" s="2195">
        <f>N121</f>
        <v>1</v>
      </c>
      <c r="M93" s="2080"/>
      <c r="N93" s="2196" t="e">
        <f>(J113*G92+G93-J93)*L93</f>
        <v>#VALUE!</v>
      </c>
      <c r="O93" s="860"/>
      <c r="P93" s="2196">
        <f>J113</f>
        <v>66900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662</v>
      </c>
      <c r="I95" s="2072"/>
      <c r="J95" s="2074" t="s">
        <v>3157</v>
      </c>
      <c r="K95" s="2074"/>
      <c r="L95" s="2074" t="s">
        <v>2514</v>
      </c>
      <c r="M95" s="2072"/>
      <c r="N95" s="2072"/>
      <c r="O95" s="2072"/>
      <c r="P95" s="2072"/>
      <c r="Q95" s="2201"/>
    </row>
    <row r="96" spans="1:23">
      <c r="B96" s="2071"/>
      <c r="C96" s="2072"/>
      <c r="D96" s="2072"/>
      <c r="E96" s="2072"/>
      <c r="F96" s="2072"/>
      <c r="G96" s="2076"/>
      <c r="H96" s="2076" t="s">
        <v>2410</v>
      </c>
      <c r="I96" s="2072"/>
      <c r="J96" s="2074" t="s">
        <v>659</v>
      </c>
      <c r="K96" s="2074"/>
      <c r="L96" s="2548" t="s">
        <v>1801</v>
      </c>
      <c r="M96" s="2072"/>
      <c r="N96" s="2072"/>
      <c r="O96" s="2072"/>
      <c r="P96" s="2072"/>
      <c r="Q96" s="2201"/>
      <c r="S96" t="s">
        <v>721</v>
      </c>
      <c r="T96" s="2227">
        <f>T113/P93</f>
        <v>0.9</v>
      </c>
    </row>
    <row r="97" spans="2:19">
      <c r="B97" s="2071"/>
      <c r="C97" s="2072"/>
      <c r="D97" s="2072"/>
      <c r="E97" s="2529" t="s">
        <v>1794</v>
      </c>
      <c r="F97" s="2530" t="s">
        <v>462</v>
      </c>
      <c r="G97" s="2531"/>
      <c r="H97" s="2081">
        <f>メイン!R47</f>
        <v>30000</v>
      </c>
      <c r="I97" s="2072"/>
      <c r="J97" s="2081">
        <f>CO2データ!H190</f>
        <v>2230</v>
      </c>
      <c r="K97" s="2072"/>
      <c r="L97" s="2532" t="e">
        <f>CO2データ!R190</f>
        <v>#VALUE!</v>
      </c>
      <c r="M97" s="2072"/>
      <c r="N97" s="2072"/>
      <c r="O97" s="2072"/>
      <c r="P97" s="2072"/>
      <c r="Q97" s="2201"/>
      <c r="S97" s="2225">
        <f>CO2データ!N190</f>
        <v>0.9</v>
      </c>
    </row>
    <row r="98" spans="2:19">
      <c r="B98" s="2071"/>
      <c r="C98" s="2072"/>
      <c r="D98" s="2072"/>
      <c r="E98" s="2533"/>
      <c r="F98" s="2530" t="s">
        <v>2306</v>
      </c>
      <c r="G98" s="2531"/>
      <c r="H98" s="2081">
        <f>メイン!R48</f>
        <v>0</v>
      </c>
      <c r="I98" s="2072"/>
      <c r="J98" s="2081">
        <f>CO2データ!H191</f>
        <v>0</v>
      </c>
      <c r="K98" s="2072"/>
      <c r="L98" s="2532" t="e">
        <f>CO2データ!R191</f>
        <v>#VALUE!</v>
      </c>
      <c r="M98" s="2072"/>
      <c r="N98" s="2072"/>
      <c r="O98" s="2072"/>
      <c r="P98" s="2072"/>
      <c r="Q98" s="2201"/>
      <c r="S98" s="2225">
        <f>CO2データ!N191</f>
        <v>0.82</v>
      </c>
    </row>
    <row r="99" spans="2:19">
      <c r="B99" s="2071"/>
      <c r="C99" s="2072"/>
      <c r="D99" s="2072"/>
      <c r="E99" s="2534" t="s">
        <v>2310</v>
      </c>
      <c r="F99" s="2530" t="s">
        <v>2311</v>
      </c>
      <c r="G99" s="2531"/>
      <c r="H99" s="2081">
        <f>メイン!R49</f>
        <v>0</v>
      </c>
      <c r="I99" s="2072"/>
      <c r="J99" s="2081">
        <f>CO2データ!H192</f>
        <v>0</v>
      </c>
      <c r="K99" s="2072"/>
      <c r="L99" s="2532" t="e">
        <f>CO2データ!R192</f>
        <v>#VALUE!</v>
      </c>
      <c r="M99" s="2072"/>
      <c r="N99" s="2072"/>
      <c r="O99" s="2072"/>
      <c r="P99" s="2072"/>
      <c r="Q99" s="2201"/>
      <c r="S99" s="2225">
        <f>CO2データ!N192</f>
        <v>0.68</v>
      </c>
    </row>
    <row r="100" spans="2:19">
      <c r="B100" s="2071"/>
      <c r="C100" s="2072"/>
      <c r="D100" s="2072"/>
      <c r="E100" s="2534"/>
      <c r="F100" s="2535" t="s">
        <v>2312</v>
      </c>
      <c r="G100" s="2536" t="s">
        <v>2313</v>
      </c>
      <c r="H100" s="2081">
        <f>メイン!R50</f>
        <v>0</v>
      </c>
      <c r="I100" s="2072"/>
      <c r="J100" s="2081">
        <f>CO2データ!H193</f>
        <v>0</v>
      </c>
      <c r="K100" s="2072"/>
      <c r="L100" s="2532" t="e">
        <f>CO2データ!R193</f>
        <v>#VALUE!</v>
      </c>
      <c r="M100" s="2072"/>
      <c r="N100" s="2072"/>
      <c r="O100" s="2072"/>
      <c r="P100" s="2072"/>
      <c r="Q100" s="2201"/>
      <c r="S100" s="2225">
        <f>CO2データ!N193</f>
        <v>0.40660921848225862</v>
      </c>
    </row>
    <row r="101" spans="2:19">
      <c r="B101" s="2071"/>
      <c r="C101" s="2072"/>
      <c r="D101" s="2072"/>
      <c r="E101" s="2534"/>
      <c r="F101" s="2537"/>
      <c r="G101" s="2536" t="s">
        <v>2704</v>
      </c>
      <c r="H101" s="2081">
        <f>メイン!R51</f>
        <v>0</v>
      </c>
      <c r="I101" s="2072"/>
      <c r="J101" s="2081">
        <f>CO2データ!H194</f>
        <v>0</v>
      </c>
      <c r="K101" s="2072"/>
      <c r="L101" s="2532" t="e">
        <f>CO2データ!R194</f>
        <v>#VALUE!</v>
      </c>
      <c r="M101" s="2072"/>
      <c r="N101" s="2072"/>
      <c r="O101" s="2072"/>
      <c r="P101" s="2072"/>
      <c r="Q101" s="2201"/>
      <c r="S101" s="2225">
        <f>CO2データ!N194</f>
        <v>0.70611799443264323</v>
      </c>
    </row>
    <row r="102" spans="2:19">
      <c r="B102" s="2071"/>
      <c r="C102" s="2072"/>
      <c r="D102" s="2072"/>
      <c r="E102" s="2534"/>
      <c r="F102" s="2530" t="s">
        <v>2314</v>
      </c>
      <c r="G102" s="2531"/>
      <c r="H102" s="2081">
        <f>メイン!R52</f>
        <v>0</v>
      </c>
      <c r="I102" s="2072"/>
      <c r="J102" s="2081">
        <f>CO2データ!H195</f>
        <v>0</v>
      </c>
      <c r="K102" s="2072"/>
      <c r="L102" s="2532" t="e">
        <f>CO2データ!R195</f>
        <v>#VALUE!</v>
      </c>
      <c r="M102" s="2072"/>
      <c r="N102" s="2072"/>
      <c r="O102" s="2072"/>
      <c r="P102" s="2072"/>
      <c r="Q102" s="2201"/>
      <c r="S102" s="2225">
        <f>CO2データ!N195</f>
        <v>0.73</v>
      </c>
    </row>
    <row r="103" spans="2:19">
      <c r="B103" s="2071"/>
      <c r="C103" s="2072"/>
      <c r="D103" s="2072"/>
      <c r="E103" s="2533"/>
      <c r="F103" s="2530" t="s">
        <v>2315</v>
      </c>
      <c r="G103" s="2531"/>
      <c r="H103" s="2081">
        <f>メイン!R53</f>
        <v>0</v>
      </c>
      <c r="I103" s="2072"/>
      <c r="J103" s="2081">
        <f>CO2データ!H196</f>
        <v>0</v>
      </c>
      <c r="K103" s="2072"/>
      <c r="L103" s="2532" t="e">
        <f>CO2データ!R196</f>
        <v>#VALUE!</v>
      </c>
      <c r="M103" s="2072"/>
      <c r="N103" s="2072"/>
      <c r="O103" s="2072"/>
      <c r="P103" s="2072"/>
      <c r="Q103" s="2201"/>
      <c r="S103" s="2225">
        <f>CO2データ!N196</f>
        <v>0.75</v>
      </c>
    </row>
    <row r="104" spans="2:19">
      <c r="B104" s="2071"/>
      <c r="C104" s="2072"/>
      <c r="D104" s="2072"/>
      <c r="E104" s="2529" t="s">
        <v>2307</v>
      </c>
      <c r="F104" s="2530" t="s">
        <v>1971</v>
      </c>
      <c r="G104" s="2531"/>
      <c r="H104" s="2081">
        <f>メイン!R54</f>
        <v>0</v>
      </c>
      <c r="I104" s="2072"/>
      <c r="J104" s="2081">
        <f>CO2データ!H197</f>
        <v>0</v>
      </c>
      <c r="K104" s="2072"/>
      <c r="L104" s="2532" t="e">
        <f>CO2データ!R197</f>
        <v>#VALUE!</v>
      </c>
      <c r="M104" s="2072"/>
      <c r="N104" s="2072"/>
      <c r="O104" s="2072"/>
      <c r="P104" s="2072"/>
      <c r="Q104" s="2201"/>
      <c r="S104" s="2225">
        <f>CO2データ!N197</f>
        <v>0.92</v>
      </c>
    </row>
    <row r="105" spans="2:19">
      <c r="B105" s="2071"/>
      <c r="C105" s="2072"/>
      <c r="D105" s="2072"/>
      <c r="E105" s="2533"/>
      <c r="F105" s="2530" t="s">
        <v>2308</v>
      </c>
      <c r="G105" s="2531"/>
      <c r="H105" s="2081">
        <f>メイン!R55</f>
        <v>0</v>
      </c>
      <c r="I105" s="2072"/>
      <c r="J105" s="2081">
        <f>CO2データ!H198</f>
        <v>0</v>
      </c>
      <c r="K105" s="2072"/>
      <c r="L105" s="2532" t="e">
        <f>CO2データ!R198</f>
        <v>#VALUE!</v>
      </c>
      <c r="M105" s="2072"/>
      <c r="N105" s="2072"/>
      <c r="O105" s="2072"/>
      <c r="P105" s="2072"/>
      <c r="Q105" s="2201"/>
      <c r="S105" s="2225">
        <f>CO2データ!N198</f>
        <v>0.93</v>
      </c>
    </row>
    <row r="106" spans="2:19">
      <c r="B106" s="2071"/>
      <c r="C106" s="2072"/>
      <c r="D106" s="2072"/>
      <c r="E106" s="2530" t="s">
        <v>468</v>
      </c>
      <c r="F106" s="2538"/>
      <c r="G106" s="2531"/>
      <c r="H106" s="2081">
        <f>メイン!R56</f>
        <v>0</v>
      </c>
      <c r="I106" s="2072"/>
      <c r="J106" s="2081">
        <f>CO2データ!H199</f>
        <v>0</v>
      </c>
      <c r="K106" s="2072"/>
      <c r="L106" s="2532" t="e">
        <f>CO2データ!R199</f>
        <v>#VALUE!</v>
      </c>
      <c r="M106" s="2072"/>
      <c r="N106" s="2072"/>
      <c r="O106" s="2072"/>
      <c r="P106" s="2072"/>
      <c r="Q106" s="2201"/>
      <c r="S106" s="2225">
        <f>CO2データ!N199</f>
        <v>0.49</v>
      </c>
    </row>
    <row r="107" spans="2:19">
      <c r="B107" s="2071"/>
      <c r="C107" s="2072"/>
      <c r="D107" s="2072"/>
      <c r="E107" s="2529" t="s">
        <v>2316</v>
      </c>
      <c r="F107" s="2530" t="s">
        <v>2317</v>
      </c>
      <c r="G107" s="2531"/>
      <c r="H107" s="2081">
        <f>メイン!R57</f>
        <v>0</v>
      </c>
      <c r="I107" s="2072"/>
      <c r="J107" s="2081">
        <f>CO2データ!H200</f>
        <v>0</v>
      </c>
      <c r="K107" s="2072"/>
      <c r="L107" s="2532" t="e">
        <f>CO2データ!R200</f>
        <v>#VALUE!</v>
      </c>
      <c r="M107" s="2072"/>
      <c r="N107" s="2072"/>
      <c r="O107" s="2072"/>
      <c r="P107" s="2072"/>
      <c r="Q107" s="2201"/>
      <c r="S107" s="2225">
        <f>CO2データ!N200</f>
        <v>0.76</v>
      </c>
    </row>
    <row r="108" spans="2:19">
      <c r="B108" s="2071"/>
      <c r="C108" s="2072"/>
      <c r="D108" s="2072"/>
      <c r="E108" s="2534"/>
      <c r="F108" s="2530" t="s">
        <v>2318</v>
      </c>
      <c r="G108" s="2531"/>
      <c r="H108" s="2081">
        <f>メイン!R58</f>
        <v>0</v>
      </c>
      <c r="I108" s="2072"/>
      <c r="J108" s="2081">
        <f>CO2データ!H201</f>
        <v>0</v>
      </c>
      <c r="K108" s="2072"/>
      <c r="L108" s="2532" t="e">
        <f>CO2データ!R201</f>
        <v>#VALUE!</v>
      </c>
      <c r="M108" s="2072"/>
      <c r="N108" s="2072"/>
      <c r="O108" s="2072"/>
      <c r="P108" s="2072"/>
      <c r="Q108" s="2201"/>
      <c r="S108" s="2225">
        <f>CO2データ!N201</f>
        <v>0.81</v>
      </c>
    </row>
    <row r="109" spans="2:19">
      <c r="B109" s="2071"/>
      <c r="C109" s="2072"/>
      <c r="D109" s="2072"/>
      <c r="E109" s="2534"/>
      <c r="F109" s="2535" t="s">
        <v>2319</v>
      </c>
      <c r="G109" s="2539"/>
      <c r="H109" s="2081">
        <f>メイン!R59</f>
        <v>0</v>
      </c>
      <c r="I109" s="2072"/>
      <c r="J109" s="2081">
        <f>CO2データ!H202</f>
        <v>0</v>
      </c>
      <c r="K109" s="2072"/>
      <c r="L109" s="2532" t="e">
        <f>CO2データ!R202</f>
        <v>#VALUE!</v>
      </c>
      <c r="M109" s="2072"/>
      <c r="N109" s="2072"/>
      <c r="O109" s="2072"/>
      <c r="P109" s="2072"/>
      <c r="Q109" s="2201"/>
      <c r="S109" s="2225">
        <f>CO2データ!N202</f>
        <v>0.61</v>
      </c>
    </row>
    <row r="110" spans="2:19">
      <c r="B110" s="2071"/>
      <c r="C110" s="2072"/>
      <c r="D110" s="2072"/>
      <c r="E110" s="2530" t="s">
        <v>478</v>
      </c>
      <c r="F110" s="2538"/>
      <c r="G110" s="2531"/>
      <c r="H110" s="2081">
        <f>メイン!E60</f>
        <v>0</v>
      </c>
      <c r="I110" s="2072"/>
      <c r="J110" s="2081">
        <f>CO2データ!H203</f>
        <v>0</v>
      </c>
      <c r="K110" s="2072"/>
      <c r="L110" s="2532" t="e">
        <f>CO2データ!R203</f>
        <v>#VALUE!</v>
      </c>
      <c r="M110" s="2072"/>
      <c r="N110" s="2072"/>
      <c r="O110" s="2072"/>
      <c r="P110" s="2072"/>
      <c r="Q110" s="2201"/>
      <c r="S110" s="2225">
        <f>CO2データ!N203</f>
        <v>1</v>
      </c>
    </row>
    <row r="111" spans="2:19">
      <c r="B111" s="2071"/>
      <c r="C111" s="2072"/>
      <c r="D111" s="2072"/>
      <c r="E111" s="2530" t="s">
        <v>472</v>
      </c>
      <c r="F111" s="2538"/>
      <c r="G111" s="2531"/>
      <c r="H111" s="2081">
        <f>メイン!R61</f>
        <v>0</v>
      </c>
      <c r="I111" s="2072"/>
      <c r="J111" s="2081">
        <f>CO2データ!H204</f>
        <v>0</v>
      </c>
      <c r="K111" s="2072"/>
      <c r="L111" s="2532" t="e">
        <f>CO2データ!R204</f>
        <v>#VALUE!</v>
      </c>
      <c r="M111" s="2072"/>
      <c r="N111" s="2072"/>
      <c r="O111" s="2072"/>
      <c r="P111" s="2072"/>
      <c r="Q111" s="2201"/>
      <c r="S111" s="2225">
        <f>CO2データ!N204</f>
        <v>0.56000000000000005</v>
      </c>
    </row>
    <row r="112" spans="2:19" ht="14.25" thickBot="1">
      <c r="B112" s="2071"/>
      <c r="C112" s="2072"/>
      <c r="D112" s="2072"/>
      <c r="E112" s="2530" t="s">
        <v>2309</v>
      </c>
      <c r="F112" s="2538"/>
      <c r="G112" s="2531"/>
      <c r="H112" s="2081">
        <f>メイン!R62</f>
        <v>0</v>
      </c>
      <c r="I112" s="2072"/>
      <c r="J112" s="2081">
        <f>CO2データ!H205</f>
        <v>0</v>
      </c>
      <c r="K112" s="2072"/>
      <c r="L112" s="2540" t="e">
        <f>CO2データ!R205</f>
        <v>#VALUE!</v>
      </c>
      <c r="M112" s="2072"/>
      <c r="N112" s="2072"/>
      <c r="O112" s="2072"/>
      <c r="P112" s="2072"/>
      <c r="Q112" s="2201"/>
      <c r="S112" s="2225">
        <f>CO2データ!N205</f>
        <v>0.56000000000000005</v>
      </c>
    </row>
    <row r="113" spans="2:20" ht="14.25" thickBot="1">
      <c r="B113" s="2071"/>
      <c r="C113" s="2072"/>
      <c r="D113" s="2072"/>
      <c r="E113" s="2530" t="s">
        <v>134</v>
      </c>
      <c r="F113" s="2538" t="s">
        <v>480</v>
      </c>
      <c r="G113" s="2531"/>
      <c r="H113" s="2081">
        <f>SUM(H97:H112)</f>
        <v>30000</v>
      </c>
      <c r="I113" s="2072"/>
      <c r="J113" s="2081">
        <f>SUMPRODUCT(H97:H112,J97:J112)/1000</f>
        <v>66900</v>
      </c>
      <c r="K113" s="2424" t="s">
        <v>657</v>
      </c>
      <c r="L113" s="2541" t="e">
        <f>SUMPRODUCT(H97:H112,L97:L112)/H113</f>
        <v>#VALUE!</v>
      </c>
      <c r="M113" s="2072"/>
      <c r="N113" s="2072"/>
      <c r="O113" s="2072"/>
      <c r="P113" s="2072"/>
      <c r="Q113" s="2201"/>
      <c r="S113" t="s">
        <v>3159</v>
      </c>
      <c r="T113" s="2226">
        <f>SUMPRODUCT(H97:H112,J97:J112,S97:S112)/1000</f>
        <v>60210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2180</v>
      </c>
      <c r="F115" s="2077"/>
      <c r="G115" s="2072"/>
      <c r="H115" s="2074" t="s">
        <v>662</v>
      </c>
      <c r="I115" s="2072"/>
      <c r="J115" s="2072"/>
      <c r="K115" s="2072"/>
      <c r="L115" s="2072"/>
      <c r="M115" s="2072"/>
      <c r="N115" s="2072"/>
      <c r="O115" s="2072"/>
      <c r="P115" s="2072"/>
      <c r="Q115" s="2201"/>
    </row>
    <row r="116" spans="2:20">
      <c r="B116" s="2082"/>
      <c r="C116" s="855"/>
      <c r="D116" s="855"/>
      <c r="E116" s="862"/>
      <c r="F116" s="862" t="s">
        <v>2937</v>
      </c>
      <c r="G116" s="2077"/>
      <c r="H116" s="2550" t="s">
        <v>2410</v>
      </c>
      <c r="I116" s="2076"/>
      <c r="J116" s="857" t="s">
        <v>1643</v>
      </c>
      <c r="K116" s="857" t="s">
        <v>1644</v>
      </c>
      <c r="L116" s="857" t="s">
        <v>1645</v>
      </c>
      <c r="M116" s="858" t="s">
        <v>330</v>
      </c>
      <c r="N116" s="858" t="s">
        <v>2094</v>
      </c>
      <c r="O116" s="2084"/>
      <c r="P116" s="2525"/>
      <c r="Q116" s="2085"/>
    </row>
    <row r="117" spans="2:20">
      <c r="B117" s="2082"/>
      <c r="C117" s="855"/>
      <c r="D117" s="855"/>
      <c r="E117" s="862"/>
      <c r="F117" s="862"/>
      <c r="G117" s="2076" t="s">
        <v>3558</v>
      </c>
      <c r="H117" s="2079">
        <f>H100+H101+H102+G16</f>
        <v>0</v>
      </c>
      <c r="I117" s="2076"/>
      <c r="J117" s="3025">
        <v>0</v>
      </c>
      <c r="K117" s="3025">
        <v>1</v>
      </c>
      <c r="L117" s="3025">
        <v>15</v>
      </c>
      <c r="M117" s="2086">
        <f>採点LR1!L28</f>
        <v>3</v>
      </c>
      <c r="N117" s="2220">
        <f>IF(M117&gt;=5,$L117,IF(M117&gt;=4,$K117,$J117))</f>
        <v>0</v>
      </c>
      <c r="O117" s="2072"/>
      <c r="P117" s="2525"/>
      <c r="Q117" s="2085"/>
    </row>
    <row r="118" spans="2:20">
      <c r="B118" s="2082"/>
      <c r="C118" s="855"/>
      <c r="D118" s="855"/>
      <c r="E118" s="862"/>
      <c r="F118" s="862"/>
      <c r="G118" s="2077" t="s">
        <v>2056</v>
      </c>
      <c r="H118" s="2542">
        <f>H113-H100-H101-H102</f>
        <v>30000</v>
      </c>
      <c r="I118" s="2076"/>
      <c r="J118" s="3025">
        <v>0</v>
      </c>
      <c r="K118" s="3025">
        <v>1</v>
      </c>
      <c r="L118" s="3025">
        <f>採点LR1!I36</f>
        <v>0</v>
      </c>
      <c r="M118" s="2086">
        <f>採点LR1!G28</f>
        <v>3</v>
      </c>
      <c r="N118" s="2220">
        <f>IF(M118&gt;=5,$L118,IF(M118&gt;=4,$K118,$J118))</f>
        <v>0</v>
      </c>
      <c r="O118" s="2424" t="s">
        <v>2862</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375</v>
      </c>
      <c r="F120" s="2088"/>
      <c r="G120" s="2072"/>
      <c r="H120" s="2217"/>
      <c r="I120" s="2072"/>
      <c r="J120" s="857" t="s">
        <v>1643</v>
      </c>
      <c r="K120" s="857" t="s">
        <v>1644</v>
      </c>
      <c r="L120" s="857" t="s">
        <v>1645</v>
      </c>
      <c r="M120" s="858" t="s">
        <v>330</v>
      </c>
      <c r="N120" s="858" t="s">
        <v>660</v>
      </c>
      <c r="O120" s="860"/>
      <c r="P120" s="2525"/>
      <c r="Q120" s="2085"/>
    </row>
    <row r="121" spans="2:20">
      <c r="B121" s="2075"/>
      <c r="C121" s="855"/>
      <c r="D121" s="855"/>
      <c r="E121" s="862"/>
      <c r="F121" s="862" t="s">
        <v>661</v>
      </c>
      <c r="G121" s="2072"/>
      <c r="H121" s="2072"/>
      <c r="I121" s="2072"/>
      <c r="J121" s="2288">
        <v>1</v>
      </c>
      <c r="K121" s="3026">
        <v>0.97499999999999998</v>
      </c>
      <c r="L121" s="2288">
        <v>0.95</v>
      </c>
      <c r="M121" s="2086">
        <f>スコア!O139</f>
        <v>3</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2395</v>
      </c>
      <c r="O123" s="2072"/>
      <c r="P123" s="2313" t="s">
        <v>2396</v>
      </c>
      <c r="Q123" s="2194"/>
    </row>
    <row r="124" spans="2:20">
      <c r="B124" s="2075"/>
      <c r="C124" s="855"/>
      <c r="D124" s="2067" t="s">
        <v>3153</v>
      </c>
      <c r="E124" s="2067"/>
      <c r="F124" s="2077"/>
      <c r="G124" s="2107"/>
      <c r="H124" s="2072"/>
      <c r="I124" s="2072"/>
      <c r="J124" s="2072"/>
      <c r="K124" s="2072"/>
      <c r="L124" s="2072"/>
      <c r="M124" s="2072"/>
      <c r="N124" s="2287" t="s">
        <v>657</v>
      </c>
      <c r="O124" s="860"/>
      <c r="P124" s="2287" t="s">
        <v>657</v>
      </c>
      <c r="Q124" s="854"/>
    </row>
    <row r="125" spans="2:20">
      <c r="B125" s="2075"/>
      <c r="C125" s="855"/>
      <c r="D125" s="2072"/>
      <c r="E125" s="2077" t="s">
        <v>2340</v>
      </c>
      <c r="F125" s="2077"/>
      <c r="G125" s="2077"/>
      <c r="H125" s="2077"/>
      <c r="I125" s="2077"/>
      <c r="J125" s="2077"/>
      <c r="K125" s="2077" t="s">
        <v>2395</v>
      </c>
      <c r="L125" s="2077" t="s">
        <v>2396</v>
      </c>
      <c r="M125" s="2072"/>
      <c r="N125" s="2196" t="e">
        <f>K83+K85+H127*K127/1000</f>
        <v>#N/A</v>
      </c>
      <c r="O125" s="2072"/>
      <c r="P125" s="2196" t="e">
        <f>K82+H127*L127/1000</f>
        <v>#N/A</v>
      </c>
      <c r="Q125" s="2199"/>
      <c r="S125" s="2225"/>
    </row>
    <row r="126" spans="2:20">
      <c r="B126" s="2075"/>
      <c r="C126" s="855"/>
      <c r="D126" s="2072"/>
      <c r="E126" s="2077"/>
      <c r="F126" s="2076"/>
      <c r="G126" s="2076" t="s">
        <v>3546</v>
      </c>
      <c r="H126" s="2196">
        <f>メイン!E64-H127</f>
        <v>0</v>
      </c>
      <c r="I126" s="2549" t="s">
        <v>680</v>
      </c>
      <c r="J126" s="2077"/>
      <c r="K126" s="2543">
        <f>K83+K85</f>
        <v>0</v>
      </c>
      <c r="L126" s="2543">
        <f>K82</f>
        <v>0</v>
      </c>
      <c r="M126" s="2292" t="s">
        <v>657</v>
      </c>
      <c r="N126" s="2198"/>
      <c r="O126" s="2072"/>
      <c r="P126" s="2198"/>
      <c r="Q126" s="2199"/>
    </row>
    <row r="127" spans="2:20">
      <c r="B127" s="2075"/>
      <c r="C127" s="855"/>
      <c r="D127" s="2072"/>
      <c r="E127" s="2077"/>
      <c r="F127" s="2072"/>
      <c r="G127" s="2076" t="s">
        <v>3547</v>
      </c>
      <c r="H127" s="2196">
        <f>G70</f>
        <v>0</v>
      </c>
      <c r="I127" s="2549" t="s">
        <v>680</v>
      </c>
      <c r="J127" s="2077"/>
      <c r="K127" s="2543" t="e">
        <f>CO2データ!I235</f>
        <v>#N/A</v>
      </c>
      <c r="L127" s="2543" t="e">
        <f>CO2データ!I236</f>
        <v>#N/A</v>
      </c>
      <c r="M127" s="2551" t="s">
        <v>2862</v>
      </c>
      <c r="N127" s="2072"/>
      <c r="O127" s="860"/>
      <c r="P127" s="852"/>
      <c r="Q127" s="854"/>
    </row>
    <row r="128" spans="2:20">
      <c r="B128" s="2075"/>
      <c r="C128" s="855"/>
      <c r="D128" s="2072"/>
      <c r="E128" s="2077" t="s">
        <v>844</v>
      </c>
      <c r="F128" s="2072"/>
      <c r="G128" s="2077"/>
      <c r="H128" s="2072"/>
      <c r="I128" s="2072"/>
      <c r="J128" s="2077"/>
      <c r="K128" s="2073"/>
      <c r="L128" s="2074"/>
      <c r="M128" s="2072"/>
      <c r="N128" s="2196" t="str">
        <f>IF(L83=0,"-",L83+M83+L85)</f>
        <v>-</v>
      </c>
      <c r="O128" s="860"/>
      <c r="P128" s="2196">
        <f>L82+M82</f>
        <v>0</v>
      </c>
      <c r="Q128" s="2199"/>
      <c r="S128" s="2225"/>
    </row>
    <row r="129" spans="2:17" ht="14.2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Z+o2uTDAhd9Jy750K4K2pHEO28RUCslvzf3OY3SloCR2lo+G56XOLIDGims82VINo5X1QDNsZP3kBdJ//LtTJA==" saltValue="v1oRzAijCv22BVHO3lXLcA=="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128" priority="25">
      <formula>$G$16=0</formula>
    </cfRule>
  </conditionalFormatting>
  <conditionalFormatting sqref="H6">
    <cfRule type="expression" dxfId="127" priority="21">
      <formula>$G$15=0</formula>
    </cfRule>
  </conditionalFormatting>
  <conditionalFormatting sqref="H41 J69 J84 H50">
    <cfRule type="expression" dxfId="126" priority="345">
      <formula>$G$32+$G$33=0</formula>
    </cfRule>
  </conditionalFormatting>
  <conditionalFormatting sqref="F62:H62 F64 L64 K84:L84 K82:M83">
    <cfRule type="expression" dxfId="125" priority="347">
      <formula>$G$34=0</formula>
    </cfRule>
  </conditionalFormatting>
  <conditionalFormatting sqref="K85">
    <cfRule type="expression" dxfId="124" priority="354">
      <formula>$K$84=0</formula>
    </cfRule>
    <cfRule type="expression" dxfId="123" priority="355">
      <formula>$G$34=0</formula>
    </cfRule>
  </conditionalFormatting>
  <conditionalFormatting sqref="J85">
    <cfRule type="expression" dxfId="122" priority="356">
      <formula>$J$84=0</formula>
    </cfRule>
    <cfRule type="expression" dxfId="121" priority="357">
      <formula>$G$32+$G$33=0</formula>
    </cfRule>
  </conditionalFormatting>
  <conditionalFormatting sqref="L85">
    <cfRule type="expression" dxfId="120" priority="361">
      <formula>$L$84=0</formula>
    </cfRule>
    <cfRule type="expression" dxfId="119" priority="362">
      <formula>$G$34=0</formula>
    </cfRule>
  </conditionalFormatting>
  <conditionalFormatting sqref="J69">
    <cfRule type="expression" dxfId="118" priority="364">
      <formula>$F$62=$S$59</formula>
    </cfRule>
    <cfRule type="expression" dxfId="11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Normal="100" zoomScaleSheetLayoutView="100" workbookViewId="0">
      <selection activeCell="C6" sqref="C6"/>
    </sheetView>
  </sheetViews>
  <sheetFormatPr defaultColWidth="0" defaultRowHeight="13.5" zeroHeight="1"/>
  <cols>
    <col min="1" max="1" width="1.875" customWidth="1"/>
    <col min="2" max="2" width="25.125" hidden="1" customWidth="1"/>
    <col min="3" max="3" width="11" hidden="1" customWidth="1"/>
    <col min="4" max="4" width="5.25" style="2014" customWidth="1"/>
    <col min="5" max="5" width="1.75" style="2014" customWidth="1"/>
    <col min="6" max="15" width="10.625" style="2014" customWidth="1"/>
    <col min="16" max="16" width="2.25" customWidth="1"/>
    <col min="17" max="17" width="13.875" hidden="1" customWidth="1"/>
    <col min="18" max="18" width="13.875" style="268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5" t="s">
        <v>2697</v>
      </c>
      <c r="M1" s="906" t="str">
        <f>メイン!C11</f>
        <v>○○ビル</v>
      </c>
      <c r="N1" s="907"/>
      <c r="O1" s="1386"/>
      <c r="R1" s="2687" t="s">
        <v>1335</v>
      </c>
    </row>
    <row r="2" spans="2:21" ht="5.25" customHeight="1" thickBot="1">
      <c r="D2" s="903"/>
      <c r="E2" s="1061"/>
      <c r="F2" s="1061"/>
      <c r="G2" s="1061"/>
      <c r="H2" s="1061"/>
      <c r="I2" s="1061"/>
      <c r="J2" s="1061"/>
      <c r="K2" s="1061"/>
      <c r="L2" s="1387"/>
      <c r="M2" s="1061"/>
      <c r="N2" s="1061"/>
      <c r="O2" s="1061"/>
    </row>
    <row r="3" spans="2:21" ht="18.75" thickBot="1">
      <c r="D3" s="1388" t="s">
        <v>560</v>
      </c>
      <c r="E3" s="909"/>
      <c r="F3" s="909"/>
      <c r="G3" s="909"/>
      <c r="H3" s="904"/>
      <c r="I3" s="911"/>
      <c r="J3" s="912" t="s">
        <v>2576</v>
      </c>
      <c r="K3" s="913"/>
      <c r="L3" s="1287"/>
      <c r="M3" s="909"/>
      <c r="N3" s="909"/>
      <c r="O3" s="1142" t="str">
        <f>IF(メイン!E39=0,"",メイン!E39)</f>
        <v/>
      </c>
      <c r="R3" s="2687" t="s">
        <v>1361</v>
      </c>
      <c r="S3" t="s">
        <v>2585</v>
      </c>
      <c r="T3" t="s">
        <v>3366</v>
      </c>
      <c r="U3" t="str">
        <f>メイン!I37</f>
        <v>基本設計段階</v>
      </c>
    </row>
    <row r="4" spans="2:21" ht="6" customHeight="1">
      <c r="D4" s="908"/>
      <c r="E4" s="909"/>
      <c r="F4" s="909"/>
      <c r="G4" s="909"/>
      <c r="H4" s="909"/>
      <c r="I4" s="909"/>
      <c r="J4" s="909"/>
      <c r="K4" s="909"/>
      <c r="L4" s="1389"/>
      <c r="M4" s="909"/>
      <c r="N4" s="909"/>
      <c r="O4" s="909"/>
      <c r="T4" t="s">
        <v>3376</v>
      </c>
      <c r="U4" t="str">
        <f>メイン!I38</f>
        <v>実施設計段階</v>
      </c>
    </row>
    <row r="5" spans="2:21" ht="13.5" customHeight="1">
      <c r="D5" s="1326">
        <v>1</v>
      </c>
      <c r="E5" s="915" t="s">
        <v>561</v>
      </c>
      <c r="F5" s="915"/>
      <c r="G5" s="915"/>
      <c r="H5" s="916"/>
      <c r="I5" s="916"/>
      <c r="J5" s="916"/>
      <c r="K5" s="916"/>
      <c r="L5" s="1390"/>
      <c r="M5" s="916"/>
      <c r="N5" s="916"/>
      <c r="O5" s="916"/>
      <c r="U5" t="str">
        <f>メイン!I39</f>
        <v>竣工段階</v>
      </c>
    </row>
    <row r="6" spans="2:21" ht="13.5" customHeight="1">
      <c r="D6" s="1326">
        <v>1.1000000000000001</v>
      </c>
      <c r="E6" s="915" t="s">
        <v>843</v>
      </c>
      <c r="F6" s="2017"/>
      <c r="G6" s="915"/>
      <c r="H6" s="916"/>
      <c r="I6" s="916"/>
      <c r="J6" s="999" t="str">
        <f>IF(OR(F8=0,J7=0),$R$3,"")</f>
        <v/>
      </c>
      <c r="K6" s="916"/>
      <c r="L6" s="1390"/>
      <c r="M6" s="916"/>
      <c r="N6" s="916"/>
      <c r="O6" s="916"/>
      <c r="S6" t="s">
        <v>1151</v>
      </c>
    </row>
    <row r="7" spans="2:21" ht="13.5" customHeight="1" thickBot="1">
      <c r="D7" s="1391"/>
      <c r="E7" s="1391"/>
      <c r="F7" s="1065"/>
      <c r="G7" s="924"/>
      <c r="H7" s="925"/>
      <c r="I7" s="926" t="s">
        <v>1364</v>
      </c>
      <c r="J7" s="927">
        <f>重み!M147</f>
        <v>0.4</v>
      </c>
      <c r="K7" s="1066"/>
      <c r="L7" s="1068"/>
      <c r="N7" s="916"/>
      <c r="O7" s="916"/>
      <c r="S7" t="s">
        <v>1152</v>
      </c>
    </row>
    <row r="8" spans="2:21" ht="27" customHeight="1" thickBot="1">
      <c r="D8" s="908"/>
      <c r="E8" s="1042"/>
      <c r="F8" s="930">
        <v>3</v>
      </c>
      <c r="G8" s="1046" t="s">
        <v>562</v>
      </c>
      <c r="H8" s="935"/>
      <c r="I8" s="935"/>
      <c r="J8" s="935"/>
      <c r="K8" s="935"/>
      <c r="L8" s="1232"/>
      <c r="M8" s="916"/>
      <c r="N8" s="916"/>
      <c r="O8" s="916"/>
    </row>
    <row r="9" spans="2:21" ht="21" customHeight="1">
      <c r="B9" s="1">
        <v>1</v>
      </c>
      <c r="C9" s="1">
        <v>1</v>
      </c>
      <c r="D9" s="908"/>
      <c r="E9" s="1042"/>
      <c r="F9" s="937" t="str">
        <f>IF(F8=$S$16,$T$10,IF(ROUNDDOWN(F8,0)=$S$10,$U$10,$T$10))</f>
        <v>　レベル　1</v>
      </c>
      <c r="G9" s="939" t="s">
        <v>829</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2178</v>
      </c>
      <c r="H10" s="947"/>
      <c r="I10" s="947"/>
      <c r="J10" s="947"/>
      <c r="K10" s="947"/>
      <c r="L10" s="1393"/>
      <c r="M10" s="916"/>
      <c r="N10" s="916"/>
      <c r="O10" s="916"/>
      <c r="S10">
        <v>1</v>
      </c>
      <c r="T10" t="s">
        <v>1153</v>
      </c>
      <c r="U10" t="s">
        <v>1154</v>
      </c>
    </row>
    <row r="11" spans="2:21" ht="21" customHeight="1">
      <c r="B11" s="1">
        <v>3</v>
      </c>
      <c r="C11" s="1">
        <v>3</v>
      </c>
      <c r="D11" s="908"/>
      <c r="E11" s="1042"/>
      <c r="F11" s="942" t="str">
        <f>IF(F8=$S$16,$T$12,IF(ROUNDDOWN(F8,0)=$S$12,$U$12,$T$12))</f>
        <v>■レベル　3</v>
      </c>
      <c r="G11" s="946" t="s">
        <v>563</v>
      </c>
      <c r="H11" s="947"/>
      <c r="I11" s="947"/>
      <c r="J11" s="947"/>
      <c r="K11" s="947"/>
      <c r="L11" s="1394"/>
      <c r="M11" s="916"/>
      <c r="N11" s="916"/>
      <c r="O11" s="916"/>
      <c r="S11">
        <v>2</v>
      </c>
      <c r="T11" t="s">
        <v>1336</v>
      </c>
      <c r="U11" t="s">
        <v>1337</v>
      </c>
    </row>
    <row r="12" spans="2:21" ht="21" customHeight="1">
      <c r="B12" s="1">
        <v>4</v>
      </c>
      <c r="C12" s="1">
        <v>4</v>
      </c>
      <c r="D12" s="908"/>
      <c r="E12" s="1042"/>
      <c r="F12" s="942" t="str">
        <f>IF(F8=$S$16,$T$13,IF(ROUNDDOWN(F8,0)=$S$13,$U$13,$T$13))</f>
        <v>　レベル　4</v>
      </c>
      <c r="G12" s="946" t="s">
        <v>830</v>
      </c>
      <c r="H12" s="947"/>
      <c r="I12" s="947"/>
      <c r="J12" s="947"/>
      <c r="K12" s="947"/>
      <c r="L12" s="1394"/>
      <c r="M12" s="916"/>
      <c r="N12" s="916"/>
      <c r="O12" s="916"/>
      <c r="S12">
        <v>3</v>
      </c>
      <c r="T12" t="s">
        <v>1342</v>
      </c>
      <c r="U12" t="s">
        <v>1343</v>
      </c>
    </row>
    <row r="13" spans="2:21" ht="21" customHeight="1">
      <c r="B13" s="1" t="s">
        <v>228</v>
      </c>
      <c r="C13" s="1">
        <v>5</v>
      </c>
      <c r="D13" s="908"/>
      <c r="E13" s="1042"/>
      <c r="F13" s="953" t="str">
        <f>IF(F8=$S$16,$T$14,IF(ROUNDDOWN(F8,0)=$S$14,$U$14,$T$14))</f>
        <v>　レベル　5</v>
      </c>
      <c r="G13" s="957" t="s">
        <v>2178</v>
      </c>
      <c r="H13" s="958"/>
      <c r="I13" s="958"/>
      <c r="J13" s="958"/>
      <c r="K13" s="958"/>
      <c r="L13" s="1395"/>
      <c r="M13" s="916"/>
      <c r="N13" s="916"/>
      <c r="O13" s="916"/>
      <c r="S13">
        <v>4</v>
      </c>
      <c r="T13" t="s">
        <v>1221</v>
      </c>
      <c r="U13" t="s">
        <v>1222</v>
      </c>
    </row>
    <row r="14" spans="2:21" ht="14.25" customHeight="1">
      <c r="B14" s="960">
        <v>0</v>
      </c>
      <c r="C14" s="960">
        <v>0</v>
      </c>
      <c r="D14" s="908"/>
      <c r="E14" s="1042"/>
      <c r="F14" s="1042"/>
      <c r="G14" s="1396"/>
      <c r="H14" s="1397"/>
      <c r="I14" s="1397"/>
      <c r="J14" s="1397"/>
      <c r="K14" s="1397"/>
      <c r="L14" s="1390"/>
      <c r="M14" s="916"/>
      <c r="N14" s="916"/>
      <c r="O14" s="916"/>
      <c r="S14">
        <v>5</v>
      </c>
      <c r="T14" t="s">
        <v>1228</v>
      </c>
      <c r="U14" t="s">
        <v>1229</v>
      </c>
    </row>
    <row r="15" spans="2:21" ht="14.25" customHeight="1">
      <c r="D15" s="1326">
        <v>1.2</v>
      </c>
      <c r="E15" s="915" t="s">
        <v>564</v>
      </c>
      <c r="F15" s="915"/>
      <c r="G15" s="916"/>
      <c r="H15" s="1144"/>
      <c r="I15" s="916"/>
      <c r="J15" s="916"/>
      <c r="K15" s="916"/>
      <c r="L15" s="1398"/>
      <c r="M15" s="916"/>
      <c r="N15" s="916"/>
      <c r="O15" s="916"/>
    </row>
    <row r="16" spans="2:21" ht="14.25" customHeight="1">
      <c r="D16" s="1326"/>
      <c r="E16" s="915"/>
      <c r="F16" s="1064" t="s">
        <v>831</v>
      </c>
      <c r="G16" s="916"/>
      <c r="H16" s="1144"/>
      <c r="I16" s="916"/>
      <c r="J16" s="999" t="str">
        <f>IF(OR(F18=0,J17=0),$R$3,"")</f>
        <v/>
      </c>
      <c r="K16" s="1064" t="s">
        <v>565</v>
      </c>
      <c r="L16" s="1398"/>
      <c r="M16" s="916"/>
      <c r="N16" s="916"/>
      <c r="O16" s="999" t="str">
        <f>IF(OR(K18=0,O17=0),$R$3,"")</f>
        <v/>
      </c>
      <c r="S16">
        <v>0</v>
      </c>
      <c r="T16" t="s">
        <v>1155</v>
      </c>
      <c r="U16" t="s">
        <v>1155</v>
      </c>
    </row>
    <row r="17" spans="2:15" ht="14.25" customHeight="1" thickBot="1">
      <c r="B17" t="s">
        <v>1156</v>
      </c>
      <c r="C17" t="s">
        <v>1157</v>
      </c>
      <c r="D17" s="908"/>
      <c r="E17" s="1042"/>
      <c r="F17" s="923"/>
      <c r="G17" s="924"/>
      <c r="H17" s="925"/>
      <c r="I17" s="926" t="s">
        <v>1364</v>
      </c>
      <c r="J17" s="929">
        <f>重み!M149</f>
        <v>0.7</v>
      </c>
      <c r="K17" s="923"/>
      <c r="L17" s="924"/>
      <c r="M17" s="925"/>
      <c r="N17" s="926" t="s">
        <v>1364</v>
      </c>
      <c r="O17" s="929">
        <f>重み!M150</f>
        <v>0.3</v>
      </c>
    </row>
    <row r="18" spans="2:15" ht="27" customHeight="1" thickBot="1">
      <c r="B18" s="1210" t="s">
        <v>566</v>
      </c>
      <c r="C18" s="1210"/>
      <c r="D18" s="908"/>
      <c r="E18" s="1042"/>
      <c r="F18" s="930">
        <v>3</v>
      </c>
      <c r="G18" s="934" t="s">
        <v>502</v>
      </c>
      <c r="H18" s="935"/>
      <c r="I18" s="935"/>
      <c r="J18" s="1399"/>
      <c r="K18" s="930">
        <v>3</v>
      </c>
      <c r="L18" s="1046" t="s">
        <v>2496</v>
      </c>
      <c r="M18" s="935"/>
      <c r="N18" s="935"/>
      <c r="O18" s="936"/>
    </row>
    <row r="19" spans="2:15" ht="21" customHeight="1">
      <c r="B19" s="1" t="s">
        <v>228</v>
      </c>
      <c r="C19" s="1" t="s">
        <v>228</v>
      </c>
      <c r="D19" s="908"/>
      <c r="E19" s="1042"/>
      <c r="F19" s="937" t="str">
        <f>IF(F18=$S$16,$T$10,IF(ROUNDDOWN(F18,0)=$S$10,$U$10,$T$10))</f>
        <v>　レベル　1</v>
      </c>
      <c r="G19" s="940" t="s">
        <v>2178</v>
      </c>
      <c r="H19" s="940"/>
      <c r="I19" s="940"/>
      <c r="J19" s="941"/>
      <c r="K19" s="937" t="str">
        <f>IF(K18=$S$16,$T$10,IF(ROUNDDOWN(K18,0)=$S$10,$U$10,$T$10))</f>
        <v>　レベル　1</v>
      </c>
      <c r="L19" s="2250" t="s">
        <v>2178</v>
      </c>
      <c r="M19" s="940"/>
      <c r="N19" s="940"/>
      <c r="O19" s="941"/>
    </row>
    <row r="20" spans="2:15" ht="21" customHeight="1">
      <c r="B20" s="1" t="s">
        <v>228</v>
      </c>
      <c r="C20" s="1" t="s">
        <v>228</v>
      </c>
      <c r="D20" s="908"/>
      <c r="E20" s="1042"/>
      <c r="F20" s="942" t="str">
        <f>IF(F18=$S$16,$T$11,IF(ROUNDDOWN(F18,0)=$S$11,$U$11,$T$11))</f>
        <v>　レベル　2</v>
      </c>
      <c r="G20" s="946" t="s">
        <v>2178</v>
      </c>
      <c r="H20" s="947"/>
      <c r="I20" s="947"/>
      <c r="J20" s="948"/>
      <c r="K20" s="942" t="str">
        <f>IF(K18=$S$16,$T$11,IF(ROUNDDOWN(K18,0)=$S$11,$U$11,$T$11))</f>
        <v>　レベル　2</v>
      </c>
      <c r="L20" s="2251" t="s">
        <v>2178</v>
      </c>
      <c r="M20" s="947"/>
      <c r="N20" s="947"/>
      <c r="O20" s="948"/>
    </row>
    <row r="21" spans="2:15" ht="21" customHeight="1">
      <c r="B21" s="1">
        <v>3</v>
      </c>
      <c r="C21" s="1">
        <v>3</v>
      </c>
      <c r="D21" s="908"/>
      <c r="E21" s="1042"/>
      <c r="F21" s="942" t="str">
        <f>IF(F18=$S$16,$T$12,IF(ROUNDDOWN(F18,0)=$S$12,$U$12,$T$12))</f>
        <v>■レベル　3</v>
      </c>
      <c r="G21" s="946" t="s">
        <v>832</v>
      </c>
      <c r="H21" s="947"/>
      <c r="I21" s="947"/>
      <c r="J21" s="948"/>
      <c r="K21" s="942" t="str">
        <f>IF(K18=$S$16,$T$12,IF(ROUNDDOWN(K18,0)=$S$12,$U$12,$T$12))</f>
        <v>■レベル　3</v>
      </c>
      <c r="L21" s="946" t="s">
        <v>1773</v>
      </c>
      <c r="M21" s="947"/>
      <c r="N21" s="947"/>
      <c r="O21" s="948"/>
    </row>
    <row r="22" spans="2:15" ht="21" customHeight="1">
      <c r="B22" s="1">
        <v>4</v>
      </c>
      <c r="C22" s="1">
        <v>4</v>
      </c>
      <c r="D22" s="908"/>
      <c r="E22" s="1042"/>
      <c r="F22" s="942" t="str">
        <f>IF(F18=$S$16,$T$13,IF(ROUNDDOWN(F18,0)=$S$13,$U$13,$T$13))</f>
        <v>　レベル　4</v>
      </c>
      <c r="G22" s="946" t="s">
        <v>833</v>
      </c>
      <c r="H22" s="947"/>
      <c r="I22" s="947"/>
      <c r="J22" s="948"/>
      <c r="K22" s="942" t="str">
        <f>IF(K18=$S$16,$T$13,IF(ROUNDDOWN(K18,0)=$S$13,$U$13,$T$13))</f>
        <v>　レベル　4</v>
      </c>
      <c r="L22" s="946" t="s">
        <v>1774</v>
      </c>
      <c r="M22" s="947"/>
      <c r="N22" s="947"/>
      <c r="O22" s="948"/>
    </row>
    <row r="23" spans="2:15" ht="21" customHeight="1">
      <c r="B23" s="1">
        <v>5</v>
      </c>
      <c r="C23" s="1">
        <v>5</v>
      </c>
      <c r="D23" s="908"/>
      <c r="E23" s="1042"/>
      <c r="F23" s="953" t="str">
        <f>IF(F18=$S$16,$T$14,IF(ROUNDDOWN(F18,0)=$S$14,$U$14,$T$14))</f>
        <v>　レベル　5</v>
      </c>
      <c r="G23" s="957" t="s">
        <v>834</v>
      </c>
      <c r="H23" s="958"/>
      <c r="I23" s="958"/>
      <c r="J23" s="959"/>
      <c r="K23" s="953" t="str">
        <f>IF(K18=$S$16,$T$14,IF(ROUNDDOWN(K18,0)=$S$14,$U$14,$T$14))</f>
        <v>　レベル　5</v>
      </c>
      <c r="L23" s="957" t="s">
        <v>1775</v>
      </c>
      <c r="M23" s="958"/>
      <c r="N23" s="958"/>
      <c r="O23" s="959"/>
    </row>
    <row r="24" spans="2:15" ht="14.25" customHeight="1">
      <c r="B24" s="960">
        <v>0</v>
      </c>
      <c r="C24" s="960">
        <v>0</v>
      </c>
      <c r="D24" s="908"/>
      <c r="E24" s="1042"/>
      <c r="F24" s="1042"/>
      <c r="G24" s="1396" t="s">
        <v>2153</v>
      </c>
      <c r="H24" s="1400" t="s">
        <v>2154</v>
      </c>
      <c r="I24" s="1400"/>
      <c r="J24" s="1042"/>
      <c r="K24" s="1042"/>
      <c r="L24" s="1401"/>
      <c r="M24" s="1042"/>
      <c r="N24" s="1042"/>
      <c r="O24" s="1042"/>
    </row>
    <row r="25" spans="2:15" ht="27.75" customHeight="1">
      <c r="D25" s="908"/>
      <c r="E25" s="1042"/>
      <c r="F25" s="904"/>
      <c r="G25" s="1402"/>
      <c r="H25" s="1403" t="s">
        <v>2155</v>
      </c>
      <c r="I25" s="1402"/>
      <c r="J25" s="1397"/>
      <c r="K25" s="904"/>
      <c r="L25" s="1403"/>
      <c r="M25" s="1397"/>
      <c r="N25" s="1397"/>
      <c r="O25" s="1397"/>
    </row>
    <row r="26" spans="2:15" ht="14.25" customHeight="1">
      <c r="D26" s="1326">
        <v>2</v>
      </c>
      <c r="E26" s="915" t="s">
        <v>1282</v>
      </c>
      <c r="F26" s="916"/>
      <c r="G26" s="916"/>
      <c r="H26" s="916"/>
      <c r="I26" s="916"/>
      <c r="J26" s="916"/>
      <c r="K26" s="916"/>
      <c r="L26" s="1390"/>
      <c r="M26" s="916"/>
      <c r="N26" s="916"/>
      <c r="O26" s="916"/>
    </row>
    <row r="27" spans="2:15" ht="14.25" customHeight="1">
      <c r="D27" s="1404">
        <v>2.1</v>
      </c>
      <c r="E27" s="1143" t="s">
        <v>1283</v>
      </c>
      <c r="F27" s="916"/>
      <c r="G27" s="916"/>
      <c r="H27" s="916"/>
      <c r="I27" s="916"/>
      <c r="J27" s="999" t="str">
        <f>IF(OR(F29=0,J28=0),$R$3,"")</f>
        <v/>
      </c>
      <c r="K27" s="916"/>
      <c r="L27" s="1390"/>
      <c r="M27" s="916"/>
      <c r="N27" s="916"/>
      <c r="O27" s="999"/>
    </row>
    <row r="28" spans="2:15" ht="14.25" customHeight="1" thickBot="1">
      <c r="C28" t="s">
        <v>1329</v>
      </c>
      <c r="D28" s="1391"/>
      <c r="E28" s="1391"/>
      <c r="F28" s="1065"/>
      <c r="G28" s="924"/>
      <c r="H28" s="925"/>
      <c r="I28" s="926" t="s">
        <v>1364</v>
      </c>
      <c r="J28" s="927">
        <f>重み!M152</f>
        <v>0.1</v>
      </c>
      <c r="K28" s="925"/>
      <c r="L28" s="1066"/>
      <c r="M28" s="1066"/>
      <c r="N28" s="1066"/>
      <c r="O28" s="1068"/>
    </row>
    <row r="29" spans="2:15" ht="27" customHeight="1" thickBot="1">
      <c r="C29" s="1210">
        <v>0</v>
      </c>
      <c r="D29" s="908"/>
      <c r="E29" s="918"/>
      <c r="F29" s="2056">
        <f>IF(C29=1,M29,IF(G37=$S$3,0,ROUND(IF(H46=0,2,IF(H46&gt;=5,5,IF(H46&gt;=3,4,IF(H46&gt;=1,3)))),0)))</f>
        <v>3</v>
      </c>
      <c r="G29" s="1046" t="s">
        <v>835</v>
      </c>
      <c r="H29" s="936"/>
      <c r="I29" s="1046"/>
      <c r="J29" s="1051"/>
      <c r="K29" s="1046" t="s">
        <v>1325</v>
      </c>
      <c r="L29" s="936"/>
      <c r="M29" s="2050">
        <v>0</v>
      </c>
      <c r="N29" s="1136" t="s">
        <v>2156</v>
      </c>
      <c r="O29" s="1405"/>
    </row>
    <row r="30" spans="2:15" ht="21" customHeight="1">
      <c r="B30" s="1378"/>
      <c r="C30" s="1" t="s">
        <v>2844</v>
      </c>
      <c r="D30" s="908"/>
      <c r="E30" s="918"/>
      <c r="F30" s="937" t="str">
        <f>IF(F29=$S$16,$T$10,IF(ROUNDDOWN(F29,0)=$S$10,$U$10,$T$10))</f>
        <v>　レベル　1</v>
      </c>
      <c r="G30" s="3381" t="s">
        <v>2178</v>
      </c>
      <c r="H30" s="3724"/>
      <c r="I30" s="3724"/>
      <c r="J30" s="3725"/>
      <c r="K30" s="3457" t="s">
        <v>718</v>
      </c>
      <c r="L30" s="3661"/>
      <c r="M30" s="1133" t="str">
        <f>IF(M29=$S$16,$T$10,IF(ROUNDDOWN(M29,0)=$S$10,$U$10,$T$10))</f>
        <v>　レベル　1</v>
      </c>
      <c r="N30" s="1406" t="s">
        <v>836</v>
      </c>
      <c r="O30" s="1407"/>
    </row>
    <row r="31" spans="2:15" ht="39.75" customHeight="1">
      <c r="B31" s="1378"/>
      <c r="C31" s="1" t="s">
        <v>1158</v>
      </c>
      <c r="D31" s="908"/>
      <c r="E31" s="918"/>
      <c r="F31" s="942" t="str">
        <f>IF(F29=$S$16,$T$11,IF(ROUNDDOWN(F29,0)=$S$11,$U$11,$T$11))</f>
        <v>　レベル　2</v>
      </c>
      <c r="G31" s="3403" t="s">
        <v>719</v>
      </c>
      <c r="H31" s="3726"/>
      <c r="I31" s="3726"/>
      <c r="J31" s="3650"/>
      <c r="K31" s="3662"/>
      <c r="L31" s="3663"/>
      <c r="M31" s="1134" t="str">
        <f>IF(M29=$S$16,$T$11,IF(ROUNDDOWN(M29,0)=$S$11,$U$11,$T$11))</f>
        <v>　レベル　2</v>
      </c>
      <c r="N31" s="1408" t="s">
        <v>836</v>
      </c>
      <c r="O31" s="1409"/>
    </row>
    <row r="32" spans="2:15" ht="39.75" customHeight="1">
      <c r="B32" s="1378"/>
      <c r="C32" s="1">
        <v>3</v>
      </c>
      <c r="D32" s="908"/>
      <c r="E32" s="918"/>
      <c r="F32" s="942" t="str">
        <f>IF(F29=$S$16,$T$12,IF(ROUNDDOWN(F29,0)=$S$12,$U$12,$T$12))</f>
        <v>■レベル　3</v>
      </c>
      <c r="G32" s="3403" t="s">
        <v>720</v>
      </c>
      <c r="H32" s="3726"/>
      <c r="I32" s="3726"/>
      <c r="J32" s="3650"/>
      <c r="K32" s="3662"/>
      <c r="L32" s="3663"/>
      <c r="M32" s="1134" t="str">
        <f>IF(M29=$S$16,$T$12,IF(ROUNDDOWN(M29,0)=$S$12,$U$12,$T$12))</f>
        <v>　レベル　3</v>
      </c>
      <c r="N32" s="3452" t="s">
        <v>567</v>
      </c>
      <c r="O32" s="3692"/>
    </row>
    <row r="33" spans="2:15" ht="44.25" customHeight="1">
      <c r="B33" s="1378"/>
      <c r="C33" s="1" t="s">
        <v>1159</v>
      </c>
      <c r="D33" s="908"/>
      <c r="E33" s="918"/>
      <c r="F33" s="942" t="str">
        <f>IF(F29=$S$16,$T$13,IF(ROUNDDOWN(F29,0)=$S$13,$U$13,$T$13))</f>
        <v>　レベル　4</v>
      </c>
      <c r="G33" s="3403" t="s">
        <v>568</v>
      </c>
      <c r="H33" s="3726"/>
      <c r="I33" s="3726"/>
      <c r="J33" s="3650"/>
      <c r="K33" s="3662"/>
      <c r="L33" s="3663"/>
      <c r="M33" s="1134" t="str">
        <f>IF(M29=$S$16,$T$13,IF(ROUNDDOWN(M29,0)=$S$13,$U$13,$T$13))</f>
        <v>　レベル　4</v>
      </c>
      <c r="N33" s="1408" t="s">
        <v>837</v>
      </c>
      <c r="O33" s="1409"/>
    </row>
    <row r="34" spans="2:15" ht="43.5" customHeight="1">
      <c r="B34" s="1378"/>
      <c r="C34" s="1">
        <v>5</v>
      </c>
      <c r="D34" s="908"/>
      <c r="E34" s="918"/>
      <c r="F34" s="953" t="str">
        <f>IF(F29=$S$16,$T$14,IF(ROUNDDOWN(F29,0)=$S$14,$U$14,$T$14))</f>
        <v>　レベル　5</v>
      </c>
      <c r="G34" s="3404" t="s">
        <v>569</v>
      </c>
      <c r="H34" s="3722"/>
      <c r="I34" s="3722"/>
      <c r="J34" s="3723"/>
      <c r="K34" s="3664"/>
      <c r="L34" s="3665"/>
      <c r="M34" s="1135" t="str">
        <f>IF(M29=$S$16,$T$14,IF(ROUNDDOWN(M29,0)=$S$14,$U$14,$T$14))</f>
        <v>　レベル　5</v>
      </c>
      <c r="N34" s="3455" t="s">
        <v>570</v>
      </c>
      <c r="O34" s="3693"/>
    </row>
    <row r="35" spans="2:15">
      <c r="B35" s="2055"/>
      <c r="C35" s="960">
        <v>0</v>
      </c>
      <c r="D35" s="1410"/>
      <c r="E35" s="559"/>
      <c r="F35" s="914"/>
      <c r="G35" s="914" t="s">
        <v>2463</v>
      </c>
      <c r="H35" s="559"/>
      <c r="I35" s="559"/>
      <c r="J35" s="559"/>
      <c r="K35" s="559"/>
      <c r="L35" s="1389"/>
      <c r="M35" s="559"/>
      <c r="N35" s="559"/>
      <c r="O35" s="559"/>
    </row>
    <row r="36" spans="2:15" ht="16.5" thickBot="1">
      <c r="D36" s="908"/>
      <c r="E36" s="559"/>
      <c r="F36" s="1284"/>
      <c r="G36" s="1297" t="s">
        <v>234</v>
      </c>
      <c r="H36" s="3576" t="s">
        <v>1755</v>
      </c>
      <c r="I36" s="3577"/>
      <c r="J36" s="3578"/>
      <c r="K36" s="1411" t="s">
        <v>1748</v>
      </c>
      <c r="L36" s="1412"/>
      <c r="M36" s="1413"/>
      <c r="N36" s="1413"/>
      <c r="O36" s="1196" t="s">
        <v>1756</v>
      </c>
    </row>
    <row r="37" spans="2:15" ht="31.5" customHeight="1" thickBot="1">
      <c r="D37" s="908"/>
      <c r="E37" s="559"/>
      <c r="F37" s="1284"/>
      <c r="G37" s="930"/>
      <c r="H37" s="1182" t="s">
        <v>2286</v>
      </c>
      <c r="I37" s="1183"/>
      <c r="J37" s="1183"/>
      <c r="K37" s="1183"/>
      <c r="L37" s="1183"/>
      <c r="M37" s="1183"/>
      <c r="N37" s="1183"/>
      <c r="O37" s="1184"/>
    </row>
    <row r="38" spans="2:15" ht="15.75">
      <c r="B38">
        <v>0</v>
      </c>
      <c r="C38">
        <v>0</v>
      </c>
      <c r="D38" s="908"/>
      <c r="E38" s="559"/>
      <c r="F38" s="1284"/>
      <c r="G38" s="3702">
        <v>1</v>
      </c>
      <c r="H38" s="3539" t="s">
        <v>3408</v>
      </c>
      <c r="I38" s="3705"/>
      <c r="J38" s="3458"/>
      <c r="K38" s="1171" t="s">
        <v>571</v>
      </c>
      <c r="L38" s="1414"/>
      <c r="M38" s="1247"/>
      <c r="N38" s="1247"/>
      <c r="O38" s="2018">
        <v>1</v>
      </c>
    </row>
    <row r="39" spans="2:15" ht="15.75">
      <c r="B39">
        <v>1</v>
      </c>
      <c r="C39">
        <v>1</v>
      </c>
      <c r="D39" s="908"/>
      <c r="E39" s="559"/>
      <c r="F39" s="1284"/>
      <c r="G39" s="3703"/>
      <c r="H39" s="3706"/>
      <c r="I39" s="3585"/>
      <c r="J39" s="3615"/>
      <c r="K39" s="1174" t="s">
        <v>838</v>
      </c>
      <c r="L39" s="2019"/>
      <c r="M39" s="2020"/>
      <c r="N39" s="2020"/>
      <c r="O39" s="2021">
        <v>3</v>
      </c>
    </row>
    <row r="40" spans="2:15" ht="15.75">
      <c r="B40">
        <v>3</v>
      </c>
      <c r="C40">
        <v>2</v>
      </c>
      <c r="D40" s="908"/>
      <c r="E40" s="559"/>
      <c r="F40" s="1284"/>
      <c r="G40" s="3704"/>
      <c r="H40" s="3707"/>
      <c r="I40" s="3579"/>
      <c r="J40" s="3580"/>
      <c r="K40" s="1173" t="s">
        <v>839</v>
      </c>
      <c r="L40" s="1415"/>
      <c r="M40" s="1300"/>
      <c r="N40" s="1300"/>
      <c r="O40" s="2021">
        <v>4</v>
      </c>
    </row>
    <row r="41" spans="2:15" ht="15.75">
      <c r="B41">
        <v>4</v>
      </c>
      <c r="C41">
        <v>3</v>
      </c>
      <c r="D41" s="908"/>
      <c r="E41" s="559"/>
      <c r="F41" s="1284"/>
      <c r="G41" s="3708">
        <v>0</v>
      </c>
      <c r="H41" s="3624" t="s">
        <v>3409</v>
      </c>
      <c r="I41" s="3714"/>
      <c r="J41" s="3715"/>
      <c r="K41" s="1173" t="s">
        <v>572</v>
      </c>
      <c r="L41" s="1415"/>
      <c r="M41" s="1300"/>
      <c r="N41" s="1300"/>
      <c r="O41" s="2021">
        <v>1</v>
      </c>
    </row>
    <row r="42" spans="2:15" ht="15.75">
      <c r="C42">
        <v>4</v>
      </c>
      <c r="D42" s="908"/>
      <c r="E42" s="559"/>
      <c r="F42" s="1284"/>
      <c r="G42" s="3709"/>
      <c r="H42" s="3716"/>
      <c r="I42" s="3717"/>
      <c r="J42" s="3718"/>
      <c r="K42" s="1174" t="s">
        <v>840</v>
      </c>
      <c r="L42" s="2019"/>
      <c r="M42" s="2020"/>
      <c r="N42" s="2020"/>
      <c r="O42" s="2021">
        <v>3</v>
      </c>
    </row>
    <row r="43" spans="2:15" ht="15.75">
      <c r="C43">
        <v>5</v>
      </c>
      <c r="D43" s="908"/>
      <c r="E43" s="559"/>
      <c r="F43" s="1284"/>
      <c r="G43" s="3710"/>
      <c r="H43" s="3719"/>
      <c r="I43" s="3720"/>
      <c r="J43" s="3721"/>
      <c r="K43" s="1312" t="s">
        <v>841</v>
      </c>
      <c r="L43" s="1416"/>
      <c r="M43" s="1304"/>
      <c r="N43" s="1304"/>
      <c r="O43" s="2022">
        <v>4</v>
      </c>
    </row>
    <row r="44" spans="2:15" ht="30.75" customHeight="1">
      <c r="C44">
        <v>6</v>
      </c>
      <c r="D44" s="908"/>
      <c r="E44" s="559"/>
      <c r="F44" s="1284"/>
      <c r="G44" s="3711">
        <v>0</v>
      </c>
      <c r="H44" s="3624" t="s">
        <v>842</v>
      </c>
      <c r="I44" s="3582"/>
      <c r="J44" s="3583"/>
      <c r="K44" s="3385" t="s">
        <v>573</v>
      </c>
      <c r="L44" s="3402"/>
      <c r="M44" s="3402"/>
      <c r="N44" s="3429"/>
      <c r="O44" s="2023">
        <v>1</v>
      </c>
    </row>
    <row r="45" spans="2:15" ht="23.25" thickBot="1">
      <c r="C45">
        <v>7</v>
      </c>
      <c r="D45" s="908"/>
      <c r="E45" s="1284"/>
      <c r="F45" s="1285"/>
      <c r="G45" s="3712"/>
      <c r="H45" s="3481"/>
      <c r="I45" s="3713"/>
      <c r="J45" s="3460"/>
      <c r="K45" s="1177" t="s">
        <v>574</v>
      </c>
      <c r="L45" s="2024"/>
      <c r="M45" s="2025"/>
      <c r="N45" s="2025"/>
      <c r="O45" s="2057" t="s">
        <v>1791</v>
      </c>
    </row>
    <row r="46" spans="2:15" ht="15.75">
      <c r="C46">
        <v>8</v>
      </c>
      <c r="D46" s="908"/>
      <c r="E46" s="1284"/>
      <c r="F46" s="1285"/>
      <c r="G46" s="1191" t="s">
        <v>1777</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75">
      <c r="D48" s="1326"/>
      <c r="E48" s="915"/>
      <c r="F48" s="916"/>
      <c r="G48" s="916"/>
      <c r="H48" s="916"/>
      <c r="I48" s="916"/>
      <c r="J48" s="916"/>
      <c r="K48" s="916"/>
      <c r="L48" s="1390"/>
      <c r="M48" s="916"/>
      <c r="N48" s="916"/>
      <c r="O48" s="916"/>
    </row>
    <row r="49" spans="2:15" ht="14.25" customHeight="1">
      <c r="D49" s="1326">
        <v>2.2000000000000002</v>
      </c>
      <c r="E49" s="915" t="s">
        <v>575</v>
      </c>
      <c r="F49" s="915"/>
      <c r="G49" s="1418"/>
      <c r="H49" s="1419"/>
      <c r="I49" s="1419"/>
      <c r="J49" s="999" t="str">
        <f>IF(OR(F51=0,J50=0),$R$3,"")</f>
        <v/>
      </c>
      <c r="K49" s="1420"/>
      <c r="L49" s="1421"/>
      <c r="M49" s="912"/>
      <c r="N49" s="912"/>
      <c r="O49" s="912"/>
    </row>
    <row r="50" spans="2:15" ht="14.25" customHeight="1" thickBot="1">
      <c r="D50" s="1391"/>
      <c r="E50" s="1391"/>
      <c r="F50" s="1065"/>
      <c r="G50" s="924"/>
      <c r="H50" s="925"/>
      <c r="I50" s="926" t="s">
        <v>1364</v>
      </c>
      <c r="J50" s="927">
        <f>重み!M153</f>
        <v>0.2</v>
      </c>
      <c r="K50" s="1066"/>
      <c r="L50" s="1066"/>
      <c r="M50" s="1066"/>
      <c r="N50" s="1066"/>
      <c r="O50" s="936"/>
    </row>
    <row r="51" spans="2:15" ht="27" customHeight="1" thickBot="1">
      <c r="D51" s="908"/>
      <c r="E51" s="1061"/>
      <c r="F51" s="930">
        <v>3</v>
      </c>
      <c r="G51" s="934" t="s">
        <v>502</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2178</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2178</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2178</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576</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1285</v>
      </c>
      <c r="F58" s="916"/>
      <c r="G58" s="1144"/>
      <c r="H58" s="916"/>
      <c r="I58" s="916"/>
      <c r="J58" s="999" t="str">
        <f>IF(OR(F60=0,J59=0),$R$3,"")</f>
        <v/>
      </c>
      <c r="K58" s="916"/>
      <c r="L58" s="1398"/>
      <c r="M58" s="916"/>
      <c r="N58" s="916"/>
    </row>
    <row r="59" spans="2:15" ht="14.25" customHeight="1" thickBot="1">
      <c r="D59" s="908"/>
      <c r="E59" s="1042"/>
      <c r="F59" s="1065"/>
      <c r="G59" s="924"/>
      <c r="H59" s="925"/>
      <c r="I59" s="926" t="s">
        <v>1364</v>
      </c>
      <c r="J59" s="927">
        <f>重み!M154</f>
        <v>0.2</v>
      </c>
      <c r="K59" s="1066"/>
      <c r="L59" s="1066"/>
      <c r="M59" s="1066"/>
      <c r="N59" s="1066"/>
      <c r="O59" s="936"/>
    </row>
    <row r="60" spans="2:15" ht="27" customHeight="1" thickBot="1">
      <c r="D60" s="908"/>
      <c r="E60" s="1042"/>
      <c r="F60" s="930">
        <v>3</v>
      </c>
      <c r="G60" s="934" t="s">
        <v>502</v>
      </c>
      <c r="H60" s="935"/>
      <c r="I60" s="935"/>
      <c r="J60" s="935"/>
      <c r="K60" s="935"/>
      <c r="L60" s="1264"/>
      <c r="M60" s="935"/>
      <c r="N60" s="1046" t="s">
        <v>1325</v>
      </c>
      <c r="O60" s="936"/>
    </row>
    <row r="61" spans="2:15" ht="21" customHeight="1">
      <c r="B61" s="1" t="s">
        <v>2842</v>
      </c>
      <c r="C61" s="1">
        <v>1</v>
      </c>
      <c r="D61" s="908"/>
      <c r="E61" s="1042"/>
      <c r="F61" s="937" t="str">
        <f>IF(F60=$S$16,$T$10,IF(ROUNDDOWN(F60,0)=$S$10,$U$10,$T$10))</f>
        <v>　レベル　1</v>
      </c>
      <c r="G61" s="939" t="s">
        <v>2178</v>
      </c>
      <c r="H61" s="940"/>
      <c r="I61" s="940"/>
      <c r="J61" s="940"/>
      <c r="K61" s="940"/>
      <c r="L61" s="1265"/>
      <c r="M61" s="940"/>
      <c r="N61" s="3457" t="s">
        <v>577</v>
      </c>
      <c r="O61" s="3661"/>
    </row>
    <row r="62" spans="2:15" ht="21" customHeight="1">
      <c r="B62" s="1" t="s">
        <v>228</v>
      </c>
      <c r="C62" s="1">
        <v>2</v>
      </c>
      <c r="D62" s="908"/>
      <c r="E62" s="1042"/>
      <c r="F62" s="942" t="str">
        <f>IF(F60=$S$16,$T$11,IF(ROUNDDOWN(F60,0)=$S$11,$U$11,$T$11))</f>
        <v>　レベル　2</v>
      </c>
      <c r="G62" s="946" t="s">
        <v>2178</v>
      </c>
      <c r="H62" s="947"/>
      <c r="I62" s="947"/>
      <c r="J62" s="947"/>
      <c r="K62" s="947"/>
      <c r="L62" s="1266"/>
      <c r="M62" s="947"/>
      <c r="N62" s="3662"/>
      <c r="O62" s="3663"/>
    </row>
    <row r="63" spans="2:15" ht="21" customHeight="1">
      <c r="B63" s="1">
        <v>3</v>
      </c>
      <c r="C63" s="1">
        <v>3</v>
      </c>
      <c r="D63" s="908"/>
      <c r="E63" s="1042"/>
      <c r="F63" s="942" t="str">
        <f>IF(F60=$S$16,$T$12,IF(ROUNDDOWN(F60,0)=$S$12,$U$12,$T$12))</f>
        <v>■レベル　3</v>
      </c>
      <c r="G63" s="946" t="s">
        <v>64</v>
      </c>
      <c r="H63" s="947"/>
      <c r="I63" s="947"/>
      <c r="J63" s="947"/>
      <c r="K63" s="947"/>
      <c r="L63" s="1266"/>
      <c r="M63" s="947"/>
      <c r="N63" s="3662"/>
      <c r="O63" s="3663"/>
    </row>
    <row r="64" spans="2:15" ht="21" customHeight="1">
      <c r="B64" s="1" t="s">
        <v>1158</v>
      </c>
      <c r="C64" s="1">
        <v>4</v>
      </c>
      <c r="D64" s="908"/>
      <c r="E64" s="1042"/>
      <c r="F64" s="942" t="str">
        <f>IF(F60=$S$16,$T$13,IF(ROUNDDOWN(F60,0)=$S$13,$U$13,$T$13))</f>
        <v>　レベル　4</v>
      </c>
      <c r="G64" s="946" t="s">
        <v>2178</v>
      </c>
      <c r="H64" s="947"/>
      <c r="I64" s="947"/>
      <c r="J64" s="947"/>
      <c r="K64" s="947"/>
      <c r="L64" s="1266"/>
      <c r="M64" s="947"/>
      <c r="N64" s="3662"/>
      <c r="O64" s="3663"/>
    </row>
    <row r="65" spans="2:15" ht="21" customHeight="1">
      <c r="B65" s="1">
        <v>5</v>
      </c>
      <c r="C65" s="1">
        <v>5</v>
      </c>
      <c r="D65" s="908"/>
      <c r="E65" s="1042"/>
      <c r="F65" s="953" t="str">
        <f>IF(F60=$S$16,$T$14,IF(ROUNDDOWN(F60,0)=$S$14,$U$14,$T$14))</f>
        <v>　レベル　5</v>
      </c>
      <c r="G65" s="957" t="s">
        <v>65</v>
      </c>
      <c r="H65" s="958"/>
      <c r="I65" s="958"/>
      <c r="J65" s="958"/>
      <c r="K65" s="958"/>
      <c r="L65" s="1267"/>
      <c r="M65" s="958"/>
      <c r="N65" s="3664"/>
      <c r="O65" s="3665"/>
    </row>
    <row r="66" spans="2:15" ht="15" customHeight="1">
      <c r="B66" s="960">
        <v>0</v>
      </c>
      <c r="C66" s="960">
        <v>0</v>
      </c>
      <c r="G66" s="1422" t="s">
        <v>1778</v>
      </c>
      <c r="L66" s="2026"/>
    </row>
    <row r="67" spans="2:15" ht="21" customHeight="1">
      <c r="G67" s="1381" t="s">
        <v>578</v>
      </c>
      <c r="H67" s="2027"/>
      <c r="I67" s="2027"/>
      <c r="J67" s="2027"/>
      <c r="K67" s="3694"/>
      <c r="L67" s="3695"/>
      <c r="M67" s="3695"/>
      <c r="N67" s="3695"/>
      <c r="O67" s="3696"/>
    </row>
    <row r="68" spans="2:15" ht="8.25" customHeight="1">
      <c r="D68" s="908"/>
      <c r="E68" s="909"/>
      <c r="F68" s="909"/>
      <c r="G68" s="1422"/>
      <c r="L68" s="2026"/>
    </row>
    <row r="69" spans="2:15" ht="15" customHeight="1">
      <c r="D69" s="908"/>
      <c r="E69" s="909"/>
      <c r="F69" s="909"/>
      <c r="G69" s="1380" t="s">
        <v>579</v>
      </c>
      <c r="H69" s="132"/>
      <c r="I69" s="132"/>
      <c r="J69" s="132"/>
      <c r="K69" s="132"/>
      <c r="L69" s="2197"/>
      <c r="M69" s="132"/>
    </row>
    <row r="70" spans="2:15" ht="13.5" customHeight="1" thickBot="1">
      <c r="D70" s="908"/>
      <c r="E70" s="909"/>
      <c r="F70" s="909"/>
      <c r="G70" s="1423" t="s">
        <v>580</v>
      </c>
      <c r="H70" s="1424"/>
      <c r="I70" s="1424"/>
      <c r="J70" s="1424"/>
      <c r="K70" s="1424"/>
      <c r="L70" s="1425"/>
      <c r="M70" s="1425"/>
    </row>
    <row r="71" spans="2:15" ht="13.5" customHeight="1" thickTop="1">
      <c r="D71" s="908"/>
      <c r="E71" s="909"/>
      <c r="F71" s="909"/>
      <c r="G71" s="1426" t="s">
        <v>581</v>
      </c>
      <c r="H71" s="1427"/>
      <c r="I71" s="1427"/>
      <c r="J71" s="1428"/>
      <c r="K71" s="1427"/>
      <c r="L71" s="1429"/>
      <c r="M71" s="1430"/>
    </row>
    <row r="72" spans="2:15" ht="13.5" customHeight="1">
      <c r="D72" s="908"/>
      <c r="E72" s="909"/>
      <c r="F72" s="909"/>
      <c r="G72" s="1431"/>
      <c r="H72" s="1208" t="s">
        <v>582</v>
      </c>
      <c r="I72" s="1432"/>
      <c r="J72" s="1433"/>
      <c r="K72" s="1208" t="s">
        <v>99</v>
      </c>
      <c r="L72" s="1208"/>
      <c r="M72" s="1434"/>
    </row>
    <row r="73" spans="2:15" ht="13.5" customHeight="1">
      <c r="D73" s="908"/>
      <c r="E73" s="909"/>
      <c r="F73" s="909"/>
      <c r="G73" s="1431"/>
      <c r="H73" s="1208" t="s">
        <v>380</v>
      </c>
      <c r="I73" s="1432"/>
      <c r="J73" s="1433"/>
      <c r="K73" s="1433" t="s">
        <v>100</v>
      </c>
      <c r="L73" s="1208"/>
      <c r="M73" s="1434"/>
    </row>
    <row r="74" spans="2:15" ht="13.5" customHeight="1">
      <c r="D74" s="908"/>
      <c r="E74" s="909"/>
      <c r="F74" s="909"/>
      <c r="G74" s="1431"/>
      <c r="H74" s="1208" t="s">
        <v>381</v>
      </c>
      <c r="I74" s="1432"/>
      <c r="J74" s="1433"/>
      <c r="K74" s="1433" t="s">
        <v>2039</v>
      </c>
      <c r="L74" s="1208"/>
      <c r="M74" s="1434"/>
    </row>
    <row r="75" spans="2:15" ht="13.5" customHeight="1">
      <c r="D75" s="908"/>
      <c r="E75" s="909"/>
      <c r="F75" s="909"/>
      <c r="G75" s="1431"/>
      <c r="H75" s="1208" t="s">
        <v>382</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383</v>
      </c>
      <c r="H77" s="1208"/>
      <c r="I77" s="1438"/>
      <c r="J77" s="1439"/>
      <c r="K77" s="1440"/>
      <c r="L77" s="1441"/>
      <c r="M77" s="1436"/>
    </row>
    <row r="78" spans="2:15" ht="13.5" customHeight="1">
      <c r="D78" s="908"/>
      <c r="E78" s="909"/>
      <c r="F78" s="909"/>
      <c r="G78" s="1443" t="s">
        <v>384</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1364</v>
      </c>
      <c r="J84" s="927">
        <f>重み!M155</f>
        <v>0.2</v>
      </c>
      <c r="K84" s="1066"/>
      <c r="L84" s="1066"/>
      <c r="M84" s="1066"/>
      <c r="N84" s="1066"/>
      <c r="O84" s="936"/>
    </row>
    <row r="85" spans="2:15" ht="27" customHeight="1" thickBot="1">
      <c r="D85" s="908"/>
      <c r="E85" s="908"/>
      <c r="F85" s="930">
        <v>3</v>
      </c>
      <c r="G85" s="934" t="s">
        <v>502</v>
      </c>
      <c r="H85" s="935"/>
      <c r="I85" s="935"/>
      <c r="J85" s="935"/>
      <c r="K85" s="935"/>
      <c r="L85" s="1264"/>
      <c r="M85" s="935"/>
      <c r="N85" s="1046" t="s">
        <v>1325</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457" t="s">
        <v>8</v>
      </c>
      <c r="O86" s="3661"/>
    </row>
    <row r="87" spans="2:15" ht="21" customHeight="1">
      <c r="B87" s="1" t="s">
        <v>1160</v>
      </c>
      <c r="C87" s="1">
        <v>2</v>
      </c>
      <c r="D87" s="908"/>
      <c r="E87" s="908"/>
      <c r="F87" s="942" t="str">
        <f>IF(F85=$S$16,$T$11,IF(ROUNDDOWN(F85,0)=$S$11,$U$11,$T$11))</f>
        <v>　レベル　2</v>
      </c>
      <c r="G87" s="946" t="s">
        <v>2178</v>
      </c>
      <c r="H87" s="947"/>
      <c r="I87" s="947"/>
      <c r="J87" s="947"/>
      <c r="K87" s="947"/>
      <c r="L87" s="1266"/>
      <c r="M87" s="947"/>
      <c r="N87" s="3662"/>
      <c r="O87" s="3663"/>
    </row>
    <row r="88" spans="2:15" ht="21" customHeight="1">
      <c r="B88" s="1">
        <v>3</v>
      </c>
      <c r="C88" s="1">
        <v>3</v>
      </c>
      <c r="D88" s="908"/>
      <c r="E88" s="908"/>
      <c r="F88" s="942" t="str">
        <f>IF(F85=$S$16,$T$12,IF(ROUNDDOWN(F85,0)=$S$12,$U$12,$T$12))</f>
        <v>■レベル　3</v>
      </c>
      <c r="G88" s="946" t="s">
        <v>9</v>
      </c>
      <c r="H88" s="947"/>
      <c r="I88" s="947"/>
      <c r="J88" s="947"/>
      <c r="K88" s="947"/>
      <c r="L88" s="1266"/>
      <c r="M88" s="947"/>
      <c r="N88" s="3662"/>
      <c r="O88" s="3663"/>
    </row>
    <row r="89" spans="2:15" ht="21" customHeight="1">
      <c r="B89" s="1">
        <v>4</v>
      </c>
      <c r="C89" s="1">
        <v>4</v>
      </c>
      <c r="D89" s="908"/>
      <c r="E89" s="908"/>
      <c r="F89" s="942" t="str">
        <f>IF(F85=$S$16,$T$13,IF(ROUNDDOWN(F85,0)=$S$13,$U$13,$T$13))</f>
        <v>　レベル　4</v>
      </c>
      <c r="G89" s="946" t="s">
        <v>10</v>
      </c>
      <c r="H89" s="947"/>
      <c r="I89" s="947"/>
      <c r="J89" s="947"/>
      <c r="K89" s="947"/>
      <c r="L89" s="1266"/>
      <c r="M89" s="947"/>
      <c r="N89" s="3662"/>
      <c r="O89" s="3663"/>
    </row>
    <row r="90" spans="2:15" ht="21" customHeight="1">
      <c r="B90" s="1">
        <v>5</v>
      </c>
      <c r="C90" s="1">
        <v>5</v>
      </c>
      <c r="D90" s="908"/>
      <c r="E90" s="908"/>
      <c r="F90" s="953" t="str">
        <f>IF(F85=$S$16,$T$14,IF(ROUNDDOWN(F85,0)=$S$14,$U$14,$T$14))</f>
        <v>　レベル　5</v>
      </c>
      <c r="G90" s="957" t="s">
        <v>11</v>
      </c>
      <c r="H90" s="958"/>
      <c r="I90" s="958"/>
      <c r="J90" s="958"/>
      <c r="K90" s="958"/>
      <c r="L90" s="1267"/>
      <c r="M90" s="958"/>
      <c r="N90" s="3664"/>
      <c r="O90" s="3665"/>
    </row>
    <row r="91" spans="2:15" ht="14.25" customHeight="1">
      <c r="B91" s="960">
        <v>0</v>
      </c>
      <c r="C91" s="960">
        <v>0</v>
      </c>
      <c r="D91" s="908"/>
      <c r="E91" s="1059"/>
      <c r="G91" s="1422" t="s">
        <v>2006</v>
      </c>
      <c r="L91" s="2026"/>
    </row>
    <row r="92" spans="2:15" ht="21" customHeight="1">
      <c r="G92" s="1381" t="s">
        <v>578</v>
      </c>
      <c r="H92" s="2027"/>
      <c r="I92" s="2027"/>
      <c r="J92" s="2027"/>
      <c r="K92" s="3694"/>
      <c r="L92" s="3695"/>
      <c r="M92" s="3695"/>
      <c r="N92" s="3695"/>
      <c r="O92" s="3696"/>
    </row>
    <row r="93" spans="2:15" ht="5.25" customHeight="1">
      <c r="D93" s="908"/>
      <c r="E93" s="1059"/>
      <c r="G93" s="1422"/>
      <c r="L93" s="2026"/>
    </row>
    <row r="94" spans="2:15" ht="14.25" customHeight="1">
      <c r="D94" s="908"/>
      <c r="E94" s="909"/>
      <c r="F94" s="909"/>
      <c r="G94" s="1380" t="s">
        <v>579</v>
      </c>
      <c r="H94" s="132"/>
      <c r="I94" s="132"/>
      <c r="J94" s="132"/>
      <c r="K94" s="132"/>
      <c r="L94" s="2197"/>
      <c r="M94" s="132"/>
      <c r="N94" s="132"/>
      <c r="O94" s="132"/>
    </row>
    <row r="95" spans="2:15" ht="13.5" customHeight="1" thickBot="1">
      <c r="D95" s="908"/>
      <c r="E95" s="909"/>
      <c r="F95" s="909"/>
      <c r="G95" s="1453" t="s">
        <v>580</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339</v>
      </c>
      <c r="M97" s="947"/>
      <c r="N97" s="947"/>
      <c r="O97" s="948"/>
    </row>
    <row r="98" spans="4:15" ht="13.5" customHeight="1">
      <c r="D98" s="908"/>
      <c r="E98" s="909"/>
      <c r="F98" s="909"/>
      <c r="G98" s="946"/>
      <c r="H98" s="947" t="s">
        <v>14</v>
      </c>
      <c r="I98" s="947"/>
      <c r="J98" s="947"/>
      <c r="K98" s="947"/>
      <c r="L98" s="947" t="s">
        <v>2038</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1798</v>
      </c>
      <c r="I100" s="947"/>
      <c r="J100" s="947"/>
      <c r="K100" s="947"/>
      <c r="L100" s="947" t="s">
        <v>2039</v>
      </c>
      <c r="M100" s="947"/>
      <c r="N100" s="947"/>
      <c r="O100" s="948"/>
    </row>
    <row r="101" spans="4:15" ht="13.5" customHeight="1">
      <c r="D101" s="908"/>
      <c r="E101" s="909"/>
      <c r="F101" s="909"/>
      <c r="G101" s="946"/>
      <c r="H101" s="947" t="s">
        <v>1799</v>
      </c>
      <c r="I101" s="947"/>
      <c r="J101" s="947"/>
      <c r="K101" s="947"/>
      <c r="L101" s="947" t="s">
        <v>1451</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1452</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1453</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1454</v>
      </c>
      <c r="I110" s="947"/>
      <c r="J110" s="947"/>
      <c r="K110" s="947"/>
      <c r="L110" s="947" t="s">
        <v>1455</v>
      </c>
      <c r="M110" s="947"/>
      <c r="N110" s="947"/>
      <c r="O110" s="948"/>
    </row>
    <row r="111" spans="4:15" ht="13.5" customHeight="1">
      <c r="D111" s="908"/>
      <c r="E111" s="909"/>
      <c r="F111" s="909"/>
      <c r="G111" s="957"/>
      <c r="H111" s="958" t="s">
        <v>1456</v>
      </c>
      <c r="I111" s="958"/>
      <c r="J111" s="958"/>
      <c r="K111" s="958"/>
      <c r="L111" s="958"/>
      <c r="M111" s="958"/>
      <c r="N111" s="958"/>
      <c r="O111" s="959"/>
    </row>
    <row r="112" spans="4:15" ht="13.5" customHeight="1">
      <c r="D112" s="908"/>
      <c r="E112" s="909"/>
      <c r="F112" s="909"/>
      <c r="G112" s="1054" t="s">
        <v>1457</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1458</v>
      </c>
      <c r="H114" s="1055"/>
      <c r="I114" s="1055"/>
      <c r="J114" s="1055"/>
      <c r="K114" s="1055"/>
      <c r="L114" s="1055"/>
      <c r="M114" s="1055"/>
      <c r="N114" s="1055"/>
      <c r="O114" s="1456"/>
    </row>
    <row r="115" spans="4:15" ht="13.5" customHeight="1">
      <c r="D115" s="908"/>
      <c r="E115" s="909"/>
      <c r="F115" s="909"/>
      <c r="G115" s="946"/>
      <c r="H115" s="947" t="s">
        <v>1459</v>
      </c>
      <c r="I115" s="947"/>
      <c r="J115" s="947"/>
      <c r="K115" s="947"/>
      <c r="L115" s="947" t="s">
        <v>1460</v>
      </c>
      <c r="M115" s="947"/>
      <c r="N115" s="947"/>
      <c r="O115" s="948"/>
    </row>
    <row r="116" spans="4:15" ht="13.5" customHeight="1">
      <c r="D116" s="908"/>
      <c r="E116" s="909"/>
      <c r="F116" s="909"/>
      <c r="G116" s="946"/>
      <c r="H116" s="947" t="s">
        <v>1461</v>
      </c>
      <c r="I116" s="947"/>
      <c r="J116" s="947"/>
      <c r="K116" s="947"/>
      <c r="L116" s="947"/>
      <c r="M116" s="947"/>
      <c r="N116" s="947"/>
      <c r="O116" s="948"/>
    </row>
    <row r="117" spans="4:15" ht="13.5" customHeight="1">
      <c r="D117" s="908"/>
      <c r="E117" s="909"/>
      <c r="F117" s="909"/>
      <c r="G117" s="946"/>
      <c r="H117" s="947" t="s">
        <v>1462</v>
      </c>
      <c r="I117" s="947"/>
      <c r="J117" s="947"/>
      <c r="K117" s="947"/>
      <c r="L117" s="947"/>
      <c r="M117" s="947"/>
      <c r="N117" s="947"/>
      <c r="O117" s="948"/>
    </row>
    <row r="118" spans="4:15" ht="13.5" customHeight="1">
      <c r="D118" s="908"/>
      <c r="E118" s="909"/>
      <c r="F118" s="909"/>
      <c r="G118" s="946"/>
      <c r="H118" s="947" t="s">
        <v>1463</v>
      </c>
      <c r="I118" s="947"/>
      <c r="J118" s="947"/>
      <c r="K118" s="947"/>
      <c r="L118" s="947"/>
      <c r="M118" s="947"/>
      <c r="N118" s="947"/>
      <c r="O118" s="948"/>
    </row>
    <row r="119" spans="4:15" ht="13.5" customHeight="1">
      <c r="D119" s="908"/>
      <c r="E119" s="909"/>
      <c r="F119" s="909"/>
      <c r="G119" s="946"/>
      <c r="H119" s="947" t="s">
        <v>1464</v>
      </c>
      <c r="I119" s="947"/>
      <c r="J119" s="947"/>
      <c r="K119" s="947"/>
      <c r="L119" s="947" t="s">
        <v>1465</v>
      </c>
      <c r="M119" s="947"/>
      <c r="N119" s="947"/>
      <c r="O119" s="948"/>
    </row>
    <row r="120" spans="4:15" ht="13.5" customHeight="1">
      <c r="D120" s="908"/>
      <c r="E120" s="909"/>
      <c r="F120" s="909"/>
      <c r="G120" s="946"/>
      <c r="H120" s="947" t="s">
        <v>116</v>
      </c>
      <c r="I120" s="947"/>
      <c r="J120" s="947"/>
      <c r="K120" s="947"/>
      <c r="L120" s="947" t="s">
        <v>2912</v>
      </c>
      <c r="M120" s="947"/>
      <c r="N120" s="947"/>
      <c r="O120" s="948"/>
    </row>
    <row r="121" spans="4:15" ht="13.5" customHeight="1">
      <c r="D121" s="908"/>
      <c r="E121" s="909"/>
      <c r="F121" s="909"/>
      <c r="G121" s="957"/>
      <c r="H121" s="958" t="s">
        <v>1466</v>
      </c>
      <c r="I121" s="958"/>
      <c r="J121" s="958"/>
      <c r="K121" s="958"/>
      <c r="L121" s="958"/>
      <c r="M121" s="958"/>
      <c r="N121" s="958"/>
      <c r="O121" s="959"/>
    </row>
    <row r="122" spans="4:15" ht="13.5" customHeight="1">
      <c r="D122" s="908"/>
      <c r="E122" s="909"/>
      <c r="F122" s="909"/>
      <c r="G122" s="1054" t="s">
        <v>1467</v>
      </c>
      <c r="H122" s="1055"/>
      <c r="I122" s="1055"/>
      <c r="J122" s="1055"/>
      <c r="K122" s="1055"/>
      <c r="L122" s="1055"/>
      <c r="M122" s="1055"/>
      <c r="N122" s="1055"/>
      <c r="O122" s="1456"/>
    </row>
    <row r="123" spans="4:15" ht="13.5" customHeight="1">
      <c r="D123" s="908"/>
      <c r="E123" s="909"/>
      <c r="F123" s="909"/>
      <c r="G123" s="946"/>
      <c r="H123" s="947" t="s">
        <v>1468</v>
      </c>
      <c r="I123" s="947"/>
      <c r="J123" s="947"/>
      <c r="K123" s="947"/>
      <c r="L123" s="947" t="s">
        <v>1469</v>
      </c>
      <c r="M123" s="947"/>
      <c r="N123" s="947"/>
      <c r="O123" s="948"/>
    </row>
    <row r="124" spans="4:15" ht="13.5" customHeight="1">
      <c r="D124" s="908"/>
      <c r="E124" s="909"/>
      <c r="F124" s="909"/>
      <c r="G124" s="946"/>
      <c r="H124" s="947" t="s">
        <v>1470</v>
      </c>
      <c r="I124" s="947"/>
      <c r="J124" s="947"/>
      <c r="K124" s="947"/>
      <c r="L124" s="947" t="s">
        <v>1471</v>
      </c>
      <c r="M124" s="947"/>
      <c r="N124" s="947"/>
      <c r="O124" s="948"/>
    </row>
    <row r="125" spans="4:15" ht="13.5" customHeight="1">
      <c r="D125" s="908"/>
      <c r="E125" s="909"/>
      <c r="F125" s="909"/>
      <c r="G125" s="946"/>
      <c r="H125" s="947" t="s">
        <v>1472</v>
      </c>
      <c r="I125" s="947"/>
      <c r="J125" s="947"/>
      <c r="K125" s="947"/>
      <c r="L125" s="947" t="s">
        <v>1473</v>
      </c>
      <c r="M125" s="947"/>
      <c r="N125" s="947"/>
      <c r="O125" s="948"/>
    </row>
    <row r="126" spans="4:15" ht="13.5" customHeight="1">
      <c r="D126" s="908"/>
      <c r="E126" s="909"/>
      <c r="F126" s="909"/>
      <c r="G126" s="946"/>
      <c r="H126" s="947" t="s">
        <v>1474</v>
      </c>
      <c r="I126" s="947"/>
      <c r="J126" s="947"/>
      <c r="K126" s="947"/>
      <c r="L126" s="947" t="s">
        <v>1475</v>
      </c>
      <c r="M126" s="947"/>
      <c r="N126" s="947"/>
      <c r="O126" s="948"/>
    </row>
    <row r="127" spans="4:15" ht="13.5" customHeight="1">
      <c r="D127" s="908"/>
      <c r="E127" s="909"/>
      <c r="F127" s="909"/>
      <c r="G127" s="946"/>
      <c r="H127" s="947" t="s">
        <v>1476</v>
      </c>
      <c r="I127" s="947"/>
      <c r="J127" s="947"/>
      <c r="K127" s="947"/>
      <c r="L127" s="947" t="s">
        <v>1477</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1478</v>
      </c>
      <c r="M129" s="958"/>
      <c r="N129" s="958"/>
      <c r="O129" s="959"/>
    </row>
    <row r="130" spans="2:15" ht="13.5" customHeight="1">
      <c r="D130" s="908"/>
      <c r="E130" s="909"/>
      <c r="F130" s="909"/>
      <c r="G130" s="1054" t="s">
        <v>1479</v>
      </c>
      <c r="H130" s="1055"/>
      <c r="I130" s="1055"/>
      <c r="J130" s="1055"/>
      <c r="K130" s="1055"/>
      <c r="L130" s="1055"/>
      <c r="M130" s="1055"/>
      <c r="N130" s="1055"/>
      <c r="O130" s="1456"/>
    </row>
    <row r="131" spans="2:15" ht="13.5" customHeight="1">
      <c r="D131" s="908"/>
      <c r="E131" s="909"/>
      <c r="F131" s="909"/>
      <c r="G131" s="946"/>
      <c r="H131" s="947" t="s">
        <v>1480</v>
      </c>
      <c r="I131" s="947"/>
      <c r="J131" s="947"/>
      <c r="K131" s="947"/>
      <c r="L131" s="947" t="s">
        <v>1481</v>
      </c>
      <c r="M131" s="947"/>
      <c r="N131" s="947"/>
      <c r="O131" s="948"/>
    </row>
    <row r="132" spans="2:15" ht="13.5" customHeight="1">
      <c r="D132" s="908"/>
      <c r="E132" s="909"/>
      <c r="F132" s="909"/>
      <c r="G132" s="946"/>
      <c r="H132" s="947" t="s">
        <v>1482</v>
      </c>
      <c r="I132" s="947"/>
      <c r="J132" s="947"/>
      <c r="K132" s="947"/>
      <c r="L132" s="947" t="s">
        <v>1483</v>
      </c>
      <c r="M132" s="947"/>
      <c r="N132" s="947"/>
      <c r="O132" s="948"/>
    </row>
    <row r="133" spans="2:15" ht="13.5" customHeight="1">
      <c r="D133" s="908"/>
      <c r="E133" s="909"/>
      <c r="F133" s="909"/>
      <c r="G133" s="957"/>
      <c r="H133" s="958" t="s">
        <v>1484</v>
      </c>
      <c r="I133" s="958"/>
      <c r="J133" s="958"/>
      <c r="K133" s="958"/>
      <c r="L133" s="958"/>
      <c r="M133" s="958"/>
      <c r="N133" s="958"/>
      <c r="O133" s="959"/>
    </row>
    <row r="134" spans="2:15" ht="13.5" customHeight="1">
      <c r="D134" s="908"/>
      <c r="E134" s="909"/>
      <c r="F134" s="909"/>
      <c r="G134" s="1054" t="s">
        <v>1485</v>
      </c>
      <c r="H134" s="1055"/>
      <c r="I134" s="1055"/>
      <c r="J134" s="1055"/>
      <c r="K134" s="1055"/>
      <c r="L134" s="1055"/>
      <c r="M134" s="1055"/>
      <c r="N134" s="1055"/>
      <c r="O134" s="1456"/>
    </row>
    <row r="135" spans="2:15" ht="13.5" customHeight="1">
      <c r="D135" s="908"/>
      <c r="E135" s="909"/>
      <c r="F135" s="909"/>
      <c r="G135" s="946"/>
      <c r="H135" s="947" t="s">
        <v>1486</v>
      </c>
      <c r="I135" s="947"/>
      <c r="J135" s="947"/>
      <c r="K135" s="947"/>
      <c r="L135" s="947" t="s">
        <v>1487</v>
      </c>
      <c r="M135" s="947"/>
      <c r="N135" s="947"/>
      <c r="O135" s="948"/>
    </row>
    <row r="136" spans="2:15" ht="13.5" customHeight="1">
      <c r="D136" s="908"/>
      <c r="E136" s="909"/>
      <c r="F136" s="909"/>
      <c r="G136" s="957"/>
      <c r="H136" s="958" t="s">
        <v>1488</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75">
      <c r="D141" s="1326">
        <v>2.5</v>
      </c>
      <c r="E141" s="915" t="s">
        <v>1489</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1364</v>
      </c>
      <c r="J142" s="927">
        <f>重み!M156</f>
        <v>0.1</v>
      </c>
      <c r="K142" s="1066"/>
      <c r="L142" s="1066"/>
      <c r="M142" s="1066"/>
      <c r="N142" s="1066"/>
      <c r="O142" s="936"/>
    </row>
    <row r="143" spans="2:15" ht="27" customHeight="1" thickBot="1">
      <c r="B143" s="1210" t="s">
        <v>566</v>
      </c>
      <c r="D143" s="908"/>
      <c r="E143" s="1061"/>
      <c r="F143" s="930">
        <v>3</v>
      </c>
      <c r="G143" s="1046" t="s">
        <v>502</v>
      </c>
      <c r="H143" s="935"/>
      <c r="I143" s="935"/>
      <c r="J143" s="935"/>
      <c r="K143" s="935"/>
      <c r="L143" s="1264"/>
      <c r="M143" s="935"/>
      <c r="N143" s="1046" t="s">
        <v>1325</v>
      </c>
      <c r="O143" s="936"/>
    </row>
    <row r="144" spans="2:15" ht="21" customHeight="1">
      <c r="B144" s="1" t="s">
        <v>2842</v>
      </c>
      <c r="C144" s="1">
        <v>1</v>
      </c>
      <c r="D144" s="908"/>
      <c r="E144" s="1061"/>
      <c r="F144" s="937" t="str">
        <f>IF(F143=$S$16,$T$10,IF(ROUNDDOWN(F143,0)=$S$10,$U$10,$T$10))</f>
        <v>　レベル　1</v>
      </c>
      <c r="G144" s="939" t="s">
        <v>2178</v>
      </c>
      <c r="H144" s="940"/>
      <c r="I144" s="940"/>
      <c r="J144" s="940"/>
      <c r="K144" s="940"/>
      <c r="L144" s="1265"/>
      <c r="M144" s="940"/>
      <c r="N144" s="3457" t="s">
        <v>2007</v>
      </c>
      <c r="O144" s="3661"/>
    </row>
    <row r="145" spans="2:18" ht="21" customHeight="1">
      <c r="B145" s="1">
        <v>2</v>
      </c>
      <c r="C145" s="1">
        <v>2</v>
      </c>
      <c r="D145" s="908"/>
      <c r="E145" s="1061"/>
      <c r="F145" s="942" t="str">
        <f>IF(F143=$S$16,$T$11,IF(ROUNDDOWN(F143,0)=$S$11,$U$11,$T$11))</f>
        <v>　レベル　2</v>
      </c>
      <c r="G145" s="946" t="s">
        <v>2008</v>
      </c>
      <c r="H145" s="947"/>
      <c r="I145" s="947"/>
      <c r="J145" s="947"/>
      <c r="K145" s="947"/>
      <c r="L145" s="1266"/>
      <c r="M145" s="947"/>
      <c r="N145" s="3662"/>
      <c r="O145" s="3663"/>
    </row>
    <row r="146" spans="2:18" ht="21" customHeight="1">
      <c r="B146" s="1">
        <v>3</v>
      </c>
      <c r="C146" s="1">
        <v>3</v>
      </c>
      <c r="D146" s="908"/>
      <c r="E146" s="1061"/>
      <c r="F146" s="942" t="str">
        <f>IF(F143=$S$16,$T$12,IF(ROUNDDOWN(F143,0)=$S$12,$U$12,$T$12))</f>
        <v>■レベル　3</v>
      </c>
      <c r="G146" s="946" t="s">
        <v>2009</v>
      </c>
      <c r="H146" s="947"/>
      <c r="I146" s="947"/>
      <c r="J146" s="947"/>
      <c r="K146" s="947"/>
      <c r="L146" s="1266"/>
      <c r="M146" s="947"/>
      <c r="N146" s="3662"/>
      <c r="O146" s="3663"/>
    </row>
    <row r="147" spans="2:18" ht="21" customHeight="1">
      <c r="B147" s="1">
        <v>4</v>
      </c>
      <c r="C147" s="1">
        <v>4</v>
      </c>
      <c r="D147" s="908"/>
      <c r="E147" s="1061"/>
      <c r="F147" s="942" t="str">
        <f>IF(F143=$S$16,$T$13,IF(ROUNDDOWN(F143,0)=$S$13,$U$13,$T$13))</f>
        <v>　レベル　4</v>
      </c>
      <c r="G147" s="946" t="s">
        <v>1490</v>
      </c>
      <c r="H147" s="947"/>
      <c r="I147" s="947"/>
      <c r="J147" s="947"/>
      <c r="K147" s="947"/>
      <c r="L147" s="1266"/>
      <c r="M147" s="947"/>
      <c r="N147" s="3662"/>
      <c r="O147" s="3663"/>
    </row>
    <row r="148" spans="2:18" ht="21" customHeight="1">
      <c r="B148" s="1">
        <v>5</v>
      </c>
      <c r="C148" s="1">
        <v>5</v>
      </c>
      <c r="D148" s="908"/>
      <c r="E148" s="1061"/>
      <c r="F148" s="953" t="str">
        <f>IF(F143=$S$16,$T$14,IF(ROUNDDOWN(F143,0)=$S$14,$U$14,$T$14))</f>
        <v>　レベル　5</v>
      </c>
      <c r="G148" s="957" t="s">
        <v>1491</v>
      </c>
      <c r="H148" s="958"/>
      <c r="I148" s="958"/>
      <c r="J148" s="958"/>
      <c r="K148" s="958"/>
      <c r="L148" s="1267"/>
      <c r="M148" s="958"/>
      <c r="N148" s="3664"/>
      <c r="O148" s="3665"/>
    </row>
    <row r="149" spans="2:18" ht="14.25" customHeight="1">
      <c r="B149" s="960">
        <v>0</v>
      </c>
      <c r="C149" s="960">
        <v>0</v>
      </c>
      <c r="D149" s="908"/>
      <c r="E149" s="1059"/>
      <c r="F149" s="1229"/>
      <c r="G149" s="1229"/>
      <c r="H149" s="1229"/>
      <c r="I149" s="1229"/>
      <c r="J149" s="1229"/>
      <c r="K149" s="1229"/>
      <c r="L149" s="1458"/>
      <c r="M149" s="1458"/>
      <c r="N149" s="1458"/>
      <c r="O149" s="1458"/>
    </row>
    <row r="150" spans="2:18" ht="15.75">
      <c r="D150" s="1326">
        <v>2.6</v>
      </c>
      <c r="E150" s="915" t="s">
        <v>1492</v>
      </c>
      <c r="F150" s="915"/>
      <c r="G150" s="1229"/>
      <c r="H150" s="1229"/>
      <c r="I150" s="1229"/>
      <c r="J150" s="1229"/>
      <c r="K150" s="1229"/>
      <c r="L150" s="1458"/>
      <c r="M150" s="1458"/>
      <c r="N150" s="1458"/>
      <c r="O150" s="1458"/>
    </row>
    <row r="151" spans="2:18" ht="15" thickBot="1">
      <c r="D151" s="1459"/>
      <c r="E151" s="1459"/>
      <c r="F151" s="1065"/>
      <c r="G151" s="924"/>
      <c r="H151" s="925"/>
      <c r="I151" s="926" t="s">
        <v>1364</v>
      </c>
      <c r="J151" s="927">
        <f>重み!M157</f>
        <v>0.2</v>
      </c>
      <c r="K151" s="1066"/>
      <c r="L151" s="1066"/>
      <c r="M151" s="1066"/>
      <c r="N151" s="1066"/>
      <c r="O151" s="936"/>
    </row>
    <row r="152" spans="2:18" ht="27" customHeight="1" thickBot="1">
      <c r="D152" s="908"/>
      <c r="E152" s="1061"/>
      <c r="F152" s="2051">
        <f>IF(J151=0,0,G160)</f>
        <v>3</v>
      </c>
      <c r="G152" s="934" t="s">
        <v>502</v>
      </c>
      <c r="H152" s="935"/>
      <c r="I152" s="935"/>
      <c r="J152" s="935"/>
      <c r="K152" s="935"/>
      <c r="L152" s="1264"/>
      <c r="M152" s="935"/>
      <c r="N152" s="935"/>
      <c r="O152" s="936"/>
    </row>
    <row r="153" spans="2:18" ht="21" customHeight="1">
      <c r="B153" s="1" t="s">
        <v>3052</v>
      </c>
      <c r="C153" s="1">
        <v>1</v>
      </c>
      <c r="D153" s="908"/>
      <c r="E153" s="1061"/>
      <c r="F153" s="937" t="str">
        <f>IF(F152=$S$16,$T$10,IF(ROUNDDOWN(F152,0)=$S$10,$U$10,$T$10))</f>
        <v>　レベル　1</v>
      </c>
      <c r="G153" s="939" t="s">
        <v>2178</v>
      </c>
      <c r="H153" s="940"/>
      <c r="I153" s="940"/>
      <c r="J153" s="940"/>
      <c r="K153" s="940"/>
      <c r="L153" s="1265"/>
      <c r="M153" s="940"/>
      <c r="N153" s="940"/>
      <c r="O153" s="941"/>
    </row>
    <row r="154" spans="2:18" ht="21" customHeight="1">
      <c r="B154" s="1" t="s">
        <v>3052</v>
      </c>
      <c r="C154" s="1">
        <v>2</v>
      </c>
      <c r="D154" s="908"/>
      <c r="E154" s="1061"/>
      <c r="F154" s="942" t="str">
        <f>IF(F152=$S$16,$T$11,IF(ROUNDDOWN(F152,0)=$S$11,$U$11,$T$11))</f>
        <v>　レベル　2</v>
      </c>
      <c r="G154" s="946" t="s">
        <v>2178</v>
      </c>
      <c r="H154" s="947"/>
      <c r="I154" s="947"/>
      <c r="J154" s="947"/>
      <c r="K154" s="947"/>
      <c r="L154" s="1266"/>
      <c r="M154" s="947"/>
      <c r="N154" s="947"/>
      <c r="O154" s="948"/>
    </row>
    <row r="155" spans="2:18" ht="21" customHeight="1">
      <c r="B155" s="1">
        <v>3</v>
      </c>
      <c r="C155" s="1">
        <v>3</v>
      </c>
      <c r="D155" s="908"/>
      <c r="E155" s="1061"/>
      <c r="F155" s="942" t="str">
        <f>IF(F152=$S$16,$T$12,IF(ROUNDDOWN(F152,0)=$S$12,$U$12,$T$12))</f>
        <v>■レベル　3</v>
      </c>
      <c r="G155" s="946" t="s">
        <v>1493</v>
      </c>
      <c r="H155" s="947"/>
      <c r="I155" s="947"/>
      <c r="J155" s="947"/>
      <c r="K155" s="947"/>
      <c r="L155" s="1266"/>
      <c r="M155" s="947"/>
      <c r="N155" s="947"/>
      <c r="O155" s="948"/>
    </row>
    <row r="156" spans="2:18" ht="21" customHeight="1">
      <c r="B156" s="1">
        <v>4</v>
      </c>
      <c r="C156" s="1">
        <v>4</v>
      </c>
      <c r="D156" s="908"/>
      <c r="E156" s="1061"/>
      <c r="F156" s="942" t="str">
        <f>IF(F152=$S$16,$T$13,IF(ROUNDDOWN(F152,0)=$S$13,$U$13,$T$13))</f>
        <v>　レベル　4</v>
      </c>
      <c r="G156" s="946" t="s">
        <v>1494</v>
      </c>
      <c r="H156" s="947"/>
      <c r="I156" s="947"/>
      <c r="J156" s="947"/>
      <c r="K156" s="947"/>
      <c r="L156" s="1266"/>
      <c r="M156" s="947"/>
      <c r="N156" s="947"/>
      <c r="O156" s="948"/>
    </row>
    <row r="157" spans="2:18" ht="21" customHeight="1" thickBot="1">
      <c r="B157" s="1">
        <v>5</v>
      </c>
      <c r="C157" s="1">
        <v>5</v>
      </c>
      <c r="D157" s="908"/>
      <c r="E157" s="1061"/>
      <c r="F157" s="953" t="str">
        <f>IF(F152=$S$16,$T$14,IF(ROUNDDOWN(F152,0)=$S$14,$U$14,$T$14))</f>
        <v>　レベル　5</v>
      </c>
      <c r="G157" s="957" t="s">
        <v>1495</v>
      </c>
      <c r="H157" s="958"/>
      <c r="I157" s="958"/>
      <c r="J157" s="958"/>
      <c r="K157" s="958"/>
      <c r="L157" s="1267"/>
      <c r="M157" s="958"/>
      <c r="N157" s="958"/>
      <c r="O157" s="959"/>
    </row>
    <row r="158" spans="2:18" ht="16.5" thickBot="1">
      <c r="B158" s="960">
        <v>0</v>
      </c>
      <c r="C158" s="960">
        <v>0</v>
      </c>
      <c r="D158" s="908"/>
      <c r="E158" s="1059"/>
      <c r="F158" s="930">
        <v>0</v>
      </c>
      <c r="G158" s="1158" t="s">
        <v>2666</v>
      </c>
      <c r="H158" s="2777" t="s">
        <v>3339</v>
      </c>
      <c r="N158" s="916"/>
      <c r="O158" s="916"/>
    </row>
    <row r="159" spans="2:18" s="2417" customFormat="1" ht="16.5" thickBot="1">
      <c r="D159" s="908"/>
      <c r="E159" s="1059"/>
      <c r="F159" s="1229"/>
      <c r="G159" s="1234" t="s">
        <v>2678</v>
      </c>
      <c r="J159" s="1460" t="s">
        <v>480</v>
      </c>
      <c r="K159" s="1461">
        <f>COUNTIF(G161:G164,"○")</f>
        <v>0</v>
      </c>
      <c r="L159" s="1004" t="s">
        <v>2160</v>
      </c>
      <c r="M159" s="913"/>
      <c r="N159" s="916"/>
      <c r="O159" s="916"/>
      <c r="R159" s="2687"/>
    </row>
    <row r="160" spans="2:18" ht="16.5" thickBot="1">
      <c r="D160" s="908"/>
      <c r="E160" s="1059"/>
      <c r="F160" s="1229"/>
      <c r="G160" s="2051">
        <f>IF(H158=T4,F158,IF(COUNTIF(G161:G164,"○")&lt;1,3,IF(COUNTIF(G161:G164,"○")=1,4,IF(COUNTIF(G161:G164,"○")&gt;=2,5))))</f>
        <v>3</v>
      </c>
      <c r="H160" s="1338" t="s">
        <v>1748</v>
      </c>
      <c r="I160" s="2028"/>
      <c r="J160" s="2028"/>
      <c r="K160" s="2029"/>
      <c r="L160" s="2030"/>
      <c r="M160" s="2028"/>
      <c r="N160" s="2028"/>
      <c r="O160" s="1462"/>
    </row>
    <row r="161" spans="2:15" ht="15.75">
      <c r="D161" s="908"/>
      <c r="E161" s="1059"/>
      <c r="F161" s="1229"/>
      <c r="G161" s="1246" t="s">
        <v>2668</v>
      </c>
      <c r="H161" s="1262" t="s">
        <v>1496</v>
      </c>
      <c r="I161" s="2028"/>
      <c r="J161" s="2028"/>
      <c r="K161" s="2028"/>
      <c r="L161" s="2030"/>
      <c r="M161" s="2028"/>
      <c r="N161" s="2028"/>
      <c r="O161" s="2031"/>
    </row>
    <row r="162" spans="2:15" ht="15.75">
      <c r="D162" s="908"/>
      <c r="E162" s="1059"/>
      <c r="F162" s="1229"/>
      <c r="G162" s="1249"/>
      <c r="H162" s="1207" t="s">
        <v>212</v>
      </c>
      <c r="I162" s="2032"/>
      <c r="J162" s="2032"/>
      <c r="K162" s="2032"/>
      <c r="L162" s="2033"/>
      <c r="M162" s="2032"/>
      <c r="N162" s="2032"/>
      <c r="O162" s="2034"/>
    </row>
    <row r="163" spans="2:15" ht="15.75">
      <c r="D163" s="908"/>
      <c r="E163" s="1059"/>
      <c r="F163" s="1229"/>
      <c r="G163" s="2095"/>
      <c r="H163" s="2102" t="s">
        <v>67</v>
      </c>
      <c r="I163" s="2103"/>
      <c r="J163" s="2103"/>
      <c r="K163" s="2103"/>
      <c r="L163" s="2104"/>
      <c r="M163" s="2103"/>
      <c r="N163" s="2103"/>
      <c r="O163" s="2105"/>
    </row>
    <row r="164" spans="2:15" ht="16.5" thickBot="1">
      <c r="D164" s="908"/>
      <c r="E164" s="1059"/>
      <c r="F164" s="1229"/>
      <c r="G164" s="1355"/>
      <c r="H164" s="1177" t="s">
        <v>68</v>
      </c>
      <c r="I164" s="2035"/>
      <c r="J164" s="2035"/>
      <c r="K164" s="2035"/>
      <c r="L164" s="2036"/>
      <c r="M164" s="2035"/>
      <c r="N164" s="2035"/>
      <c r="O164" s="2037"/>
    </row>
    <row r="165" spans="2:15" ht="15.75">
      <c r="D165" s="908"/>
      <c r="E165" s="908"/>
      <c r="F165" s="908"/>
      <c r="G165" s="908"/>
      <c r="H165" s="908"/>
      <c r="I165" s="908"/>
      <c r="J165" s="908"/>
      <c r="K165" s="908"/>
      <c r="L165" s="1452"/>
      <c r="M165" s="908"/>
      <c r="N165" s="908"/>
      <c r="O165" s="908"/>
    </row>
    <row r="166" spans="2:15" s="2687" customFormat="1" ht="15.75" hidden="1">
      <c r="D166" s="1225"/>
      <c r="E166" s="1042"/>
      <c r="F166" s="1084" t="s">
        <v>3255</v>
      </c>
      <c r="G166" s="996"/>
      <c r="H166" s="1045"/>
      <c r="I166" s="1025"/>
      <c r="J166" s="999" t="str">
        <f>IF(OR(F168=0,J167=0),$R$3,"")</f>
        <v>&lt;評価しない&gt;</v>
      </c>
      <c r="K166" s="1084" t="s">
        <v>3256</v>
      </c>
      <c r="L166" s="996"/>
      <c r="M166" s="1045"/>
      <c r="N166" s="1025"/>
      <c r="O166" s="999" t="str">
        <f>IF(OR(K168=0,O167=0),$R$3,"")</f>
        <v>&lt;評価しない&gt;</v>
      </c>
    </row>
    <row r="167" spans="2:15" s="2687" customFormat="1" ht="16.5" hidden="1" thickBot="1">
      <c r="D167" s="908"/>
      <c r="E167" s="913"/>
      <c r="F167" s="923"/>
      <c r="G167" s="924"/>
      <c r="H167" s="925"/>
      <c r="I167" s="926" t="s">
        <v>1364</v>
      </c>
      <c r="J167" s="929">
        <f>重み!M159</f>
        <v>0</v>
      </c>
      <c r="K167" s="923"/>
      <c r="L167" s="924"/>
      <c r="M167" s="925"/>
      <c r="N167" s="926" t="s">
        <v>1364</v>
      </c>
      <c r="O167" s="929">
        <f>重み!M160</f>
        <v>0</v>
      </c>
    </row>
    <row r="168" spans="2:15" s="2687" customFormat="1" ht="26.25" hidden="1" customHeight="1" thickBot="1">
      <c r="B168" s="2688" t="s">
        <v>3281</v>
      </c>
      <c r="C168" s="2688" t="s">
        <v>3281</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697" t="s">
        <v>3250</v>
      </c>
      <c r="H169" s="3698"/>
      <c r="I169" s="3698"/>
      <c r="J169" s="3699"/>
      <c r="K169" s="937" t="str">
        <f>IF(K168=$S$15,$T$10,IF(ROUNDDOWN(K168,0)=$S$10,$U$10,$T$10))</f>
        <v>　レベル　1</v>
      </c>
      <c r="L169" s="3697" t="s">
        <v>3257</v>
      </c>
      <c r="M169" s="3698"/>
      <c r="N169" s="3698"/>
      <c r="O169" s="3699"/>
    </row>
    <row r="170" spans="2:15" s="2687" customFormat="1" ht="34.5" hidden="1" customHeight="1">
      <c r="B170" s="1">
        <v>2</v>
      </c>
      <c r="C170" s="1">
        <v>2</v>
      </c>
      <c r="D170" s="908"/>
      <c r="E170" s="913"/>
      <c r="F170" s="942" t="str">
        <f>IF(F168=$S$15,$T$11,IF(ROUNDDOWN(F168,0)=$S$11,$U$11,$T$11))</f>
        <v>　レベル　2</v>
      </c>
      <c r="G170" s="3419" t="s">
        <v>3251</v>
      </c>
      <c r="H170" s="3503"/>
      <c r="I170" s="3503"/>
      <c r="J170" s="3504"/>
      <c r="K170" s="942" t="str">
        <f>IF(K168=$S$15,$T$11,IF(ROUNDDOWN(K168,0)=$S$11,$U$11,$T$11))</f>
        <v>　レベル　2</v>
      </c>
      <c r="L170" s="3419" t="s">
        <v>3258</v>
      </c>
      <c r="M170" s="3503"/>
      <c r="N170" s="3503"/>
      <c r="O170" s="3504"/>
    </row>
    <row r="171" spans="2:15" s="2687" customFormat="1" ht="34.5" hidden="1" customHeight="1">
      <c r="B171" s="1">
        <v>3</v>
      </c>
      <c r="C171" s="1">
        <v>3</v>
      </c>
      <c r="D171" s="908"/>
      <c r="E171" s="913"/>
      <c r="F171" s="942" t="str">
        <f>IF(F168=$S$15,$T$12,IF(ROUNDDOWN(F168,0)=$S$12,$U$12,$T$12))</f>
        <v>　レベル　3</v>
      </c>
      <c r="G171" s="3419" t="s">
        <v>3252</v>
      </c>
      <c r="H171" s="3503"/>
      <c r="I171" s="3503"/>
      <c r="J171" s="3504"/>
      <c r="K171" s="942" t="str">
        <f>IF(K168=$S$15,$T$12,IF(ROUNDDOWN(K168,0)=$S$12,$U$12,$T$12))</f>
        <v>　レベル　3</v>
      </c>
      <c r="L171" s="3419" t="s">
        <v>3259</v>
      </c>
      <c r="M171" s="3503"/>
      <c r="N171" s="3503"/>
      <c r="O171" s="3504"/>
    </row>
    <row r="172" spans="2:15" s="2687" customFormat="1" ht="34.5" hidden="1" customHeight="1">
      <c r="B172" s="1">
        <v>4</v>
      </c>
      <c r="C172" s="1">
        <v>4</v>
      </c>
      <c r="D172" s="908"/>
      <c r="E172" s="913"/>
      <c r="F172" s="942" t="str">
        <f>IF(F168=$S$15,$T$13,IF(ROUNDDOWN(F168,0)=$S$13,$U$13,$T$13))</f>
        <v>　レベル　4</v>
      </c>
      <c r="G172" s="3419" t="s">
        <v>3253</v>
      </c>
      <c r="H172" s="3503"/>
      <c r="I172" s="3503"/>
      <c r="J172" s="3504"/>
      <c r="K172" s="942" t="str">
        <f>IF(K168=$S$15,$T$13,IF(ROUNDDOWN(K168,0)=$S$13,$U$13,$T$13))</f>
        <v>■レベル　4</v>
      </c>
      <c r="L172" s="3419" t="s">
        <v>3260</v>
      </c>
      <c r="M172" s="3503"/>
      <c r="N172" s="3503"/>
      <c r="O172" s="3504"/>
    </row>
    <row r="173" spans="2:15" s="2687" customFormat="1" ht="34.5" hidden="1" customHeight="1">
      <c r="B173" s="1">
        <v>5</v>
      </c>
      <c r="C173" s="1">
        <v>5</v>
      </c>
      <c r="D173" s="908"/>
      <c r="E173" s="913"/>
      <c r="F173" s="953" t="str">
        <f>IF(F168=$S$15,$T$14,IF(ROUNDDOWN(F168,0)=$S$14,$U$14,$T$14))</f>
        <v>■レベル　5</v>
      </c>
      <c r="G173" s="3410" t="s">
        <v>3254</v>
      </c>
      <c r="H173" s="3506"/>
      <c r="I173" s="3506"/>
      <c r="J173" s="3507"/>
      <c r="K173" s="953" t="str">
        <f>IF(K168=$S$15,$T$14,IF(ROUNDDOWN(K168,0)=$S$14,$U$14,$T$14))</f>
        <v>　レベル　5</v>
      </c>
      <c r="L173" s="3410" t="s">
        <v>3261</v>
      </c>
      <c r="M173" s="3506"/>
      <c r="N173" s="3506"/>
      <c r="O173" s="3507"/>
    </row>
    <row r="174" spans="2:15" s="2687" customFormat="1" ht="15.75" hidden="1">
      <c r="B174" s="960">
        <v>0</v>
      </c>
      <c r="C174" s="960">
        <v>0</v>
      </c>
      <c r="D174" s="908"/>
      <c r="E174" s="908"/>
      <c r="F174" s="908"/>
      <c r="G174" s="908"/>
      <c r="H174" s="908"/>
      <c r="I174" s="908"/>
      <c r="J174" s="908"/>
      <c r="K174" s="908"/>
      <c r="L174" s="1452"/>
      <c r="M174" s="908"/>
      <c r="N174" s="908"/>
      <c r="O174" s="908"/>
    </row>
    <row r="175" spans="2:15" s="2687" customFormat="1" ht="15.75" hidden="1">
      <c r="B175" s="1630"/>
      <c r="C175" s="1630"/>
      <c r="D175" s="908"/>
      <c r="E175" s="908"/>
      <c r="F175" s="1084" t="s">
        <v>3262</v>
      </c>
      <c r="G175" s="996"/>
      <c r="H175" s="1045"/>
      <c r="I175" s="1025"/>
      <c r="J175" s="999" t="str">
        <f>IF(OR(F177=0,J176=0),$R$3,"")</f>
        <v>&lt;評価しない&gt;</v>
      </c>
      <c r="K175" s="1084" t="s">
        <v>3273</v>
      </c>
      <c r="L175" s="996"/>
      <c r="M175" s="1045"/>
      <c r="N175" s="1025"/>
      <c r="O175" s="999" t="str">
        <f>IF(OR(K177=0,O176=0),$R$3,"")</f>
        <v>&lt;評価しない&gt;</v>
      </c>
    </row>
    <row r="176" spans="2:15" s="2687" customFormat="1" ht="16.5" hidden="1" thickBot="1">
      <c r="B176" s="1630"/>
      <c r="C176" s="1630"/>
      <c r="D176" s="908"/>
      <c r="E176" s="908"/>
      <c r="F176" s="923"/>
      <c r="G176" s="924"/>
      <c r="H176" s="925"/>
      <c r="I176" s="926" t="s">
        <v>1364</v>
      </c>
      <c r="J176" s="929">
        <f>重み!M161</f>
        <v>0</v>
      </c>
      <c r="K176" s="923"/>
      <c r="L176" s="924"/>
      <c r="M176" s="925"/>
      <c r="N176" s="926" t="s">
        <v>1364</v>
      </c>
      <c r="O176" s="929">
        <f>重み!M162</f>
        <v>0</v>
      </c>
    </row>
    <row r="177" spans="2:15" s="2687" customFormat="1" ht="16.5" hidden="1" thickBot="1">
      <c r="B177" s="2688" t="s">
        <v>3281</v>
      </c>
      <c r="C177" s="2688" t="s">
        <v>3281</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697" t="s">
        <v>3263</v>
      </c>
      <c r="H178" s="3698"/>
      <c r="I178" s="3698"/>
      <c r="J178" s="3699"/>
      <c r="K178" s="937" t="str">
        <f>IF(K177=$S$15,$T$10,IF(ROUNDDOWN(K177,0)=$S$10,$U$10,$T$10))</f>
        <v>　レベル　1</v>
      </c>
      <c r="L178" s="3697" t="s">
        <v>3268</v>
      </c>
      <c r="M178" s="3698"/>
      <c r="N178" s="3698"/>
      <c r="O178" s="3699"/>
    </row>
    <row r="179" spans="2:15" s="2687" customFormat="1" ht="32.25" hidden="1" customHeight="1">
      <c r="B179" s="1">
        <v>2</v>
      </c>
      <c r="C179" s="1">
        <v>2</v>
      </c>
      <c r="D179" s="908"/>
      <c r="E179" s="908"/>
      <c r="F179" s="942" t="str">
        <f>IF(F177=$S$15,$T$11,IF(ROUNDDOWN(F177,0)=$S$11,$U$11,$T$11))</f>
        <v>　レベル　2</v>
      </c>
      <c r="G179" s="3419" t="s">
        <v>3264</v>
      </c>
      <c r="H179" s="3503"/>
      <c r="I179" s="3503"/>
      <c r="J179" s="3504"/>
      <c r="K179" s="942" t="str">
        <f>IF(K177=$S$15,$T$11,IF(ROUNDDOWN(K177,0)=$S$11,$U$11,$T$11))</f>
        <v>　レベル　2</v>
      </c>
      <c r="L179" s="3419" t="s">
        <v>3269</v>
      </c>
      <c r="M179" s="3503"/>
      <c r="N179" s="3503"/>
      <c r="O179" s="3504"/>
    </row>
    <row r="180" spans="2:15" s="2687" customFormat="1" ht="32.25" hidden="1" customHeight="1">
      <c r="B180" s="1">
        <v>3</v>
      </c>
      <c r="C180" s="1">
        <v>3</v>
      </c>
      <c r="D180" s="908"/>
      <c r="E180" s="908"/>
      <c r="F180" s="942" t="str">
        <f>IF(F177=$S$15,$T$12,IF(ROUNDDOWN(F177,0)=$S$12,$U$12,$T$12))</f>
        <v>　レベル　3</v>
      </c>
      <c r="G180" s="3419" t="s">
        <v>3265</v>
      </c>
      <c r="H180" s="3503"/>
      <c r="I180" s="3503"/>
      <c r="J180" s="3504"/>
      <c r="K180" s="942" t="str">
        <f>IF(K177=$S$15,$T$12,IF(ROUNDDOWN(K177,0)=$S$12,$U$12,$T$12))</f>
        <v>　レベル　3</v>
      </c>
      <c r="L180" s="3419" t="s">
        <v>3270</v>
      </c>
      <c r="M180" s="3503"/>
      <c r="N180" s="3503"/>
      <c r="O180" s="3504"/>
    </row>
    <row r="181" spans="2:15" s="2687" customFormat="1" ht="32.25" hidden="1" customHeight="1">
      <c r="B181" s="1">
        <v>4</v>
      </c>
      <c r="C181" s="1">
        <v>4</v>
      </c>
      <c r="D181" s="908"/>
      <c r="E181" s="908"/>
      <c r="F181" s="942" t="str">
        <f>IF(F177=$S$15,$T$13,IF(ROUNDDOWN(F177,0)=$S$13,$U$13,$T$13))</f>
        <v>■レベル　4</v>
      </c>
      <c r="G181" s="3419" t="s">
        <v>3266</v>
      </c>
      <c r="H181" s="3503"/>
      <c r="I181" s="3503"/>
      <c r="J181" s="3504"/>
      <c r="K181" s="942" t="str">
        <f>IF(K177=$S$15,$T$13,IF(ROUNDDOWN(K177,0)=$S$13,$U$13,$T$13))</f>
        <v>■レベル　4</v>
      </c>
      <c r="L181" s="3419" t="s">
        <v>3271</v>
      </c>
      <c r="M181" s="3503"/>
      <c r="N181" s="3503"/>
      <c r="O181" s="3504"/>
    </row>
    <row r="182" spans="2:15" s="2687" customFormat="1" ht="32.25" hidden="1" customHeight="1">
      <c r="B182" s="1">
        <v>5</v>
      </c>
      <c r="C182" s="1">
        <v>5</v>
      </c>
      <c r="D182" s="908"/>
      <c r="E182" s="908"/>
      <c r="F182" s="953" t="str">
        <f>IF(F177=$S$15,$T$14,IF(ROUNDDOWN(F177,0)=$S$14,$U$14,$T$14))</f>
        <v>　レベル　5</v>
      </c>
      <c r="G182" s="3410" t="s">
        <v>3267</v>
      </c>
      <c r="H182" s="3506"/>
      <c r="I182" s="3506"/>
      <c r="J182" s="3507"/>
      <c r="K182" s="953" t="str">
        <f>IF(K177=$S$15,$T$14,IF(ROUNDDOWN(K177,0)=$S$14,$U$14,$T$14))</f>
        <v>　レベル　5</v>
      </c>
      <c r="L182" s="3410" t="s">
        <v>3272</v>
      </c>
      <c r="M182" s="3506"/>
      <c r="N182" s="3506"/>
      <c r="O182" s="3507"/>
    </row>
    <row r="183" spans="2:15" s="2687" customFormat="1" ht="15.75" hidden="1">
      <c r="B183" s="960">
        <v>0</v>
      </c>
      <c r="C183" s="960">
        <v>0</v>
      </c>
      <c r="D183" s="908"/>
      <c r="E183" s="908"/>
      <c r="F183" s="908"/>
      <c r="G183" s="908"/>
      <c r="H183" s="908"/>
      <c r="I183" s="908"/>
      <c r="J183" s="908"/>
      <c r="K183" s="908"/>
      <c r="L183" s="1452"/>
      <c r="M183" s="908"/>
      <c r="N183" s="908"/>
      <c r="O183" s="908"/>
    </row>
    <row r="184" spans="2:15" s="2687" customFormat="1" ht="15.75" hidden="1">
      <c r="B184" s="1630"/>
      <c r="C184" s="1630"/>
      <c r="D184" s="908"/>
      <c r="E184" s="908"/>
      <c r="F184" s="1084" t="s">
        <v>3274</v>
      </c>
      <c r="G184" s="996"/>
      <c r="H184" s="1045"/>
      <c r="I184" s="1025"/>
      <c r="J184" s="999" t="str">
        <f>IF(OR(F186=0,J185=0),$R$3,"")</f>
        <v>&lt;評価しない&gt;</v>
      </c>
      <c r="K184" s="1084" t="s">
        <v>3275</v>
      </c>
      <c r="L184" s="996"/>
      <c r="M184" s="1045"/>
      <c r="N184" s="1025"/>
      <c r="O184" s="999" t="str">
        <f>IF(OR(K186=0,O185=0),$R$3,"")</f>
        <v>&lt;評価しない&gt;</v>
      </c>
    </row>
    <row r="185" spans="2:15" s="2687" customFormat="1" ht="16.5" hidden="1" thickBot="1">
      <c r="B185" s="1630"/>
      <c r="C185" s="1630"/>
      <c r="D185" s="908"/>
      <c r="E185" s="908"/>
      <c r="F185" s="923"/>
      <c r="G185" s="924"/>
      <c r="H185" s="925"/>
      <c r="I185" s="926" t="s">
        <v>1364</v>
      </c>
      <c r="J185" s="929">
        <f>重み!M163</f>
        <v>0</v>
      </c>
      <c r="K185" s="923"/>
      <c r="L185" s="924"/>
      <c r="M185" s="925"/>
      <c r="N185" s="926" t="s">
        <v>1364</v>
      </c>
      <c r="O185" s="929">
        <f>重み!M164</f>
        <v>0</v>
      </c>
    </row>
    <row r="186" spans="2:15" s="2687" customFormat="1" ht="16.5" hidden="1" thickBot="1">
      <c r="B186" s="2688" t="s">
        <v>3281</v>
      </c>
      <c r="C186" s="2688" t="s">
        <v>3281</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75" hidden="1">
      <c r="B187" s="1">
        <v>1</v>
      </c>
      <c r="C187" s="1">
        <v>1</v>
      </c>
      <c r="D187" s="908"/>
      <c r="E187" s="908"/>
      <c r="F187" s="937" t="str">
        <f>IF(F186=$S$15,$T$10,IF(ROUNDDOWN(F186,0)=$S$10,$U$10,$T$10))</f>
        <v>　レベル　1</v>
      </c>
      <c r="G187" s="2683" t="s">
        <v>823</v>
      </c>
      <c r="H187" s="1227"/>
      <c r="I187" s="1227"/>
      <c r="J187" s="941"/>
      <c r="K187" s="937" t="str">
        <f>IF(K186=$S$15,$T$10,IF(ROUNDDOWN(K186,0)=$S$10,$U$10,$T$10))</f>
        <v>　レベル　1</v>
      </c>
      <c r="L187" s="2683" t="s">
        <v>823</v>
      </c>
      <c r="M187" s="1227"/>
      <c r="N187" s="1227"/>
      <c r="O187" s="941"/>
    </row>
    <row r="188" spans="2:15" s="2687" customFormat="1" ht="15.75" hidden="1">
      <c r="B188" s="1">
        <v>2</v>
      </c>
      <c r="C188" s="1" t="s">
        <v>228</v>
      </c>
      <c r="D188" s="908"/>
      <c r="E188" s="908"/>
      <c r="F188" s="942" t="str">
        <f>IF(F186=$S$15,$T$11,IF(ROUNDDOWN(F186,0)=$S$11,$U$11,$T$11))</f>
        <v>　レベル　2</v>
      </c>
      <c r="G188" s="2685" t="s">
        <v>3277</v>
      </c>
      <c r="H188" s="1086"/>
      <c r="I188" s="1086"/>
      <c r="J188" s="948"/>
      <c r="K188" s="942" t="str">
        <f>IF(K186=$S$15,$T$11,IF(ROUNDDOWN(K186,0)=$S$11,$U$11,$T$11))</f>
        <v>　レベル　2</v>
      </c>
      <c r="L188" s="2685" t="s">
        <v>2178</v>
      </c>
      <c r="M188" s="1086"/>
      <c r="N188" s="1086"/>
      <c r="O188" s="948"/>
    </row>
    <row r="189" spans="2:15" s="2687" customFormat="1" ht="15.75" hidden="1">
      <c r="B189" s="1">
        <v>3</v>
      </c>
      <c r="C189" s="1">
        <v>3</v>
      </c>
      <c r="D189" s="908"/>
      <c r="E189" s="908"/>
      <c r="F189" s="942" t="str">
        <f>IF(F186=$S$15,$T$12,IF(ROUNDDOWN(F186,0)=$S$12,$U$12,$T$12))</f>
        <v>　レベル　3</v>
      </c>
      <c r="G189" s="2685" t="s">
        <v>1812</v>
      </c>
      <c r="H189" s="1086"/>
      <c r="I189" s="1086"/>
      <c r="J189" s="948"/>
      <c r="K189" s="942" t="str">
        <f>IF(K186=$S$15,$T$12,IF(ROUNDDOWN(K186,0)=$S$12,$U$12,$T$12))</f>
        <v>　レベル　3</v>
      </c>
      <c r="L189" s="2685" t="s">
        <v>3277</v>
      </c>
      <c r="M189" s="1086"/>
      <c r="N189" s="1086"/>
      <c r="O189" s="948"/>
    </row>
    <row r="190" spans="2:15" s="2687" customFormat="1" ht="15.75" hidden="1">
      <c r="B190" s="1">
        <v>4</v>
      </c>
      <c r="C190" s="1">
        <v>4</v>
      </c>
      <c r="D190" s="908"/>
      <c r="E190" s="908"/>
      <c r="F190" s="942" t="str">
        <f>IF(F186=$S$15,$T$13,IF(ROUNDDOWN(F186,0)=$S$13,$U$13,$T$13))</f>
        <v>　レベル　4</v>
      </c>
      <c r="G190" s="2685" t="s">
        <v>3278</v>
      </c>
      <c r="H190" s="1086"/>
      <c r="I190" s="1086"/>
      <c r="J190" s="948"/>
      <c r="K190" s="942" t="str">
        <f>IF(K186=$S$15,$T$13,IF(ROUNDDOWN(K186,0)=$S$13,$U$13,$T$13))</f>
        <v>　レベル　4</v>
      </c>
      <c r="L190" s="2685" t="s">
        <v>1812</v>
      </c>
      <c r="M190" s="1086"/>
      <c r="N190" s="1086"/>
      <c r="O190" s="948"/>
    </row>
    <row r="191" spans="2:15" s="2687" customFormat="1" ht="16.5" hidden="1" thickBot="1">
      <c r="B191" s="1">
        <v>5</v>
      </c>
      <c r="C191" s="1">
        <v>5</v>
      </c>
      <c r="D191" s="908"/>
      <c r="E191" s="908"/>
      <c r="F191" s="953" t="str">
        <f>IF(F186=$S$15,$T$14,IF(ROUNDDOWN(F186,0)=$S$14,$U$14,$T$14))</f>
        <v>■レベル　5</v>
      </c>
      <c r="G191" s="2680" t="s">
        <v>3279</v>
      </c>
      <c r="H191" s="1079"/>
      <c r="I191" s="1079"/>
      <c r="J191" s="959"/>
      <c r="K191" s="953" t="str">
        <f>IF(K186=$S$15,$T$14,IF(ROUNDDOWN(K186,0)=$S$14,$U$14,$T$14))</f>
        <v>■レベル　5</v>
      </c>
      <c r="L191" s="2680" t="s">
        <v>3280</v>
      </c>
      <c r="M191" s="1079"/>
      <c r="N191" s="1079"/>
      <c r="O191" s="959"/>
    </row>
    <row r="192" spans="2:15" s="2687" customFormat="1" ht="16.5" hidden="1" thickBot="1">
      <c r="B192" s="960">
        <v>0</v>
      </c>
      <c r="C192" s="960">
        <v>0</v>
      </c>
      <c r="D192" s="908"/>
      <c r="E192" s="908"/>
      <c r="F192" s="930">
        <v>0</v>
      </c>
      <c r="G192" s="1158" t="s">
        <v>2666</v>
      </c>
      <c r="H192" s="2777" t="s">
        <v>3339</v>
      </c>
      <c r="I192" s="1236"/>
      <c r="J192" s="1235"/>
      <c r="K192" s="930">
        <v>0</v>
      </c>
      <c r="L192" s="1158" t="s">
        <v>2666</v>
      </c>
      <c r="M192" s="2777" t="s">
        <v>3339</v>
      </c>
      <c r="N192" s="1236"/>
      <c r="O192" s="1235"/>
    </row>
    <row r="193" spans="2:15" s="2687" customFormat="1" ht="15.75" hidden="1">
      <c r="D193" s="908"/>
      <c r="E193" s="908"/>
      <c r="F193" s="1234" t="s">
        <v>2678</v>
      </c>
      <c r="I193"/>
      <c r="J193"/>
      <c r="K193" s="1234" t="s">
        <v>2678</v>
      </c>
    </row>
    <row r="194" spans="2:15" s="2687" customFormat="1" ht="16.5" hidden="1" thickBot="1">
      <c r="D194" s="908"/>
      <c r="E194" s="908"/>
      <c r="F194" s="2396" t="s">
        <v>1170</v>
      </c>
      <c r="G194" s="1349" t="s">
        <v>3316</v>
      </c>
      <c r="H194" s="2736"/>
      <c r="I194" s="2736"/>
      <c r="J194" s="2737"/>
      <c r="K194" s="2396" t="s">
        <v>1170</v>
      </c>
      <c r="L194" s="1349" t="s">
        <v>3316</v>
      </c>
      <c r="M194" s="2736"/>
      <c r="N194" s="2736"/>
      <c r="O194" s="2737"/>
    </row>
    <row r="195" spans="2:15" s="2687" customFormat="1" ht="30" hidden="1" customHeight="1">
      <c r="D195" s="908"/>
      <c r="E195" s="908"/>
      <c r="F195" s="1246" t="s">
        <v>2671</v>
      </c>
      <c r="G195" s="1183" t="s">
        <v>3323</v>
      </c>
      <c r="H195" s="1227"/>
      <c r="I195" s="1227"/>
      <c r="J195" s="1227"/>
      <c r="K195" s="1246" t="s">
        <v>2671</v>
      </c>
      <c r="L195" s="1182" t="s">
        <v>3315</v>
      </c>
      <c r="M195" s="1227"/>
      <c r="N195" s="1227"/>
      <c r="O195" s="2735"/>
    </row>
    <row r="196" spans="2:15" s="2687" customFormat="1" ht="30" hidden="1" customHeight="1">
      <c r="D196" s="908"/>
      <c r="E196" s="908"/>
      <c r="F196" s="1249" t="s">
        <v>2671</v>
      </c>
      <c r="G196" s="1186" t="s">
        <v>3324</v>
      </c>
      <c r="H196" s="1086"/>
      <c r="I196" s="1086"/>
      <c r="J196" s="1086"/>
      <c r="K196" s="1249"/>
      <c r="L196" s="3470" t="s">
        <v>3312</v>
      </c>
      <c r="M196" s="3503"/>
      <c r="N196" s="3503"/>
      <c r="O196" s="3504"/>
    </row>
    <row r="197" spans="2:15" s="2687" customFormat="1" ht="30" hidden="1" customHeight="1">
      <c r="D197" s="908"/>
      <c r="E197" s="908"/>
      <c r="F197" s="1249" t="s">
        <v>2671</v>
      </c>
      <c r="G197" s="1186" t="s">
        <v>3325</v>
      </c>
      <c r="H197" s="1086"/>
      <c r="I197" s="1086"/>
      <c r="J197" s="1086"/>
      <c r="K197" s="1249" t="s">
        <v>2671</v>
      </c>
      <c r="L197" s="3470" t="s">
        <v>3313</v>
      </c>
      <c r="M197" s="3503"/>
      <c r="N197" s="3503"/>
      <c r="O197" s="3504"/>
    </row>
    <row r="198" spans="2:15" s="2687" customFormat="1" ht="30" hidden="1" customHeight="1">
      <c r="D198" s="908"/>
      <c r="E198" s="908"/>
      <c r="F198" s="1249" t="s">
        <v>2671</v>
      </c>
      <c r="G198" s="1186" t="s">
        <v>3326</v>
      </c>
      <c r="H198" s="1086"/>
      <c r="I198" s="1086"/>
      <c r="J198" s="1086"/>
      <c r="K198" s="1249" t="s">
        <v>2671</v>
      </c>
      <c r="L198" s="3470" t="s">
        <v>3314</v>
      </c>
      <c r="M198" s="3503"/>
      <c r="N198" s="3503"/>
      <c r="O198" s="3504"/>
    </row>
    <row r="199" spans="2:15" s="2687" customFormat="1" ht="15.75" hidden="1">
      <c r="D199" s="908"/>
      <c r="E199" s="908"/>
      <c r="F199" s="1249"/>
      <c r="G199" s="1186" t="s">
        <v>3327</v>
      </c>
      <c r="H199" s="1086"/>
      <c r="I199" s="1086"/>
      <c r="J199" s="1086"/>
      <c r="K199" s="3684"/>
      <c r="L199" s="2738" t="s">
        <v>3322</v>
      </c>
      <c r="M199" s="2739"/>
      <c r="N199" s="2739"/>
      <c r="O199" s="2741"/>
    </row>
    <row r="200" spans="2:15" s="2687" customFormat="1" ht="23.25" hidden="1" customHeight="1" thickBot="1">
      <c r="D200" s="908"/>
      <c r="E200" s="908"/>
      <c r="F200" s="1249"/>
      <c r="G200" s="1186" t="s">
        <v>3328</v>
      </c>
      <c r="H200" s="1086"/>
      <c r="I200" s="1086"/>
      <c r="J200" s="1086"/>
      <c r="K200" s="3685"/>
      <c r="L200" s="3681"/>
      <c r="M200" s="3682"/>
      <c r="N200" s="3682"/>
      <c r="O200" s="3683"/>
    </row>
    <row r="201" spans="2:15" s="2687" customFormat="1" ht="15.75" hidden="1">
      <c r="B201" s="1630"/>
      <c r="C201" s="1630"/>
      <c r="D201" s="908"/>
      <c r="E201" s="908"/>
      <c r="F201" s="2095"/>
      <c r="G201" s="1186" t="s">
        <v>3329</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684"/>
      <c r="G202" s="2738" t="s">
        <v>3375</v>
      </c>
      <c r="H202" s="2739"/>
      <c r="I202" s="2739"/>
      <c r="J202" s="2741"/>
    </row>
    <row r="203" spans="2:15" s="2687" customFormat="1" ht="30" hidden="1" customHeight="1" thickBot="1">
      <c r="B203" s="1630"/>
      <c r="C203" s="1630"/>
      <c r="D203" s="908"/>
      <c r="E203" s="908"/>
      <c r="F203" s="3685"/>
      <c r="G203" s="3681"/>
      <c r="H203" s="3682"/>
      <c r="I203" s="3682"/>
      <c r="J203" s="3683"/>
    </row>
    <row r="204" spans="2:15" s="2687" customFormat="1" ht="15.75" hidden="1">
      <c r="B204" s="1630"/>
      <c r="C204" s="1630"/>
      <c r="D204" s="908"/>
      <c r="E204" s="908"/>
      <c r="F204" s="2098" t="s">
        <v>39</v>
      </c>
      <c r="G204" s="2097">
        <f>COUNTIF(F195:F203,$S$3)</f>
        <v>4</v>
      </c>
      <c r="H204" s="1245"/>
      <c r="I204" s="1245"/>
      <c r="J204" s="1245"/>
    </row>
    <row r="205" spans="2:15" s="2687" customFormat="1" ht="15.75" hidden="1">
      <c r="B205" s="1630"/>
      <c r="C205" s="1630"/>
      <c r="D205" s="908"/>
      <c r="E205" s="908"/>
      <c r="F205" s="908"/>
      <c r="G205" s="908"/>
      <c r="H205" s="908"/>
      <c r="I205" s="908"/>
      <c r="J205" s="908"/>
      <c r="K205" s="908"/>
      <c r="L205" s="1452"/>
      <c r="M205" s="908"/>
      <c r="N205" s="908"/>
      <c r="O205" s="908"/>
    </row>
    <row r="206" spans="2:15" s="2687" customFormat="1" ht="15.75" hidden="1">
      <c r="B206" s="1630"/>
      <c r="C206" s="1630"/>
      <c r="D206" s="1326">
        <v>2.7</v>
      </c>
      <c r="E206" s="915" t="s">
        <v>3276</v>
      </c>
      <c r="F206" s="915"/>
      <c r="G206" s="1418"/>
      <c r="H206" s="1419"/>
      <c r="I206" s="1419"/>
      <c r="J206" s="999" t="str">
        <f>IF(OR(F208=0,J207=0),$R$3,"")</f>
        <v>&lt;評価しない&gt;</v>
      </c>
      <c r="K206" s="1420"/>
      <c r="L206" s="1421"/>
      <c r="M206" s="912"/>
      <c r="N206" s="912"/>
      <c r="O206" s="912"/>
    </row>
    <row r="207" spans="2:15" s="2687" customFormat="1" ht="15" hidden="1" thickBot="1">
      <c r="B207" s="1630"/>
      <c r="C207" s="1630"/>
      <c r="D207" s="1391"/>
      <c r="E207" s="1391"/>
      <c r="F207" s="1065"/>
      <c r="G207" s="924"/>
      <c r="H207" s="925"/>
      <c r="I207" s="926" t="s">
        <v>1364</v>
      </c>
      <c r="J207" s="927">
        <f>重み!M165</f>
        <v>0</v>
      </c>
      <c r="K207" s="1066"/>
      <c r="L207" s="1066"/>
      <c r="M207" s="1066"/>
      <c r="N207" s="1066"/>
      <c r="O207" s="936"/>
    </row>
    <row r="208" spans="2:15" s="2687" customFormat="1" ht="16.5" hidden="1" thickBot="1">
      <c r="B208" s="2688" t="s">
        <v>3281</v>
      </c>
      <c r="D208" s="908"/>
      <c r="E208" s="1061"/>
      <c r="F208" s="930">
        <f>IF(H214=$T$4,F214,IF(H223&lt;1,2,IF(H223=1,3,IF(H223=2,4,5))))</f>
        <v>5</v>
      </c>
      <c r="G208" s="934" t="s">
        <v>502</v>
      </c>
      <c r="H208" s="935"/>
      <c r="I208" s="935"/>
      <c r="J208" s="935"/>
      <c r="K208" s="935"/>
      <c r="L208" s="1264"/>
      <c r="M208" s="935"/>
      <c r="N208" s="935"/>
      <c r="O208" s="936"/>
    </row>
    <row r="209" spans="2:15" s="2687" customFormat="1" ht="15.75" hidden="1">
      <c r="B209" s="1">
        <v>1</v>
      </c>
      <c r="C209" s="1">
        <v>1</v>
      </c>
      <c r="D209" s="908"/>
      <c r="E209" s="1061"/>
      <c r="F209" s="937" t="str">
        <f>IF(F208=$S$16,$T$10,IF(ROUNDDOWN(F208,0)=$S$10,$U$10,$T$10))</f>
        <v>　レベル　1</v>
      </c>
      <c r="G209" s="2683" t="s">
        <v>2178</v>
      </c>
      <c r="H209" s="2682"/>
      <c r="I209" s="2682"/>
      <c r="J209" s="2682"/>
      <c r="K209" s="2682"/>
      <c r="L209" s="1265"/>
      <c r="M209" s="2682"/>
      <c r="N209" s="2682"/>
      <c r="O209" s="941"/>
    </row>
    <row r="210" spans="2:15" s="2687" customFormat="1" ht="15.75" hidden="1">
      <c r="B210" s="1">
        <v>2</v>
      </c>
      <c r="C210" s="1">
        <v>2</v>
      </c>
      <c r="D210" s="908"/>
      <c r="E210" s="1061"/>
      <c r="F210" s="942" t="str">
        <f>IF(F208=$S$16,$T$11,IF(ROUNDDOWN(F208,0)=$S$11,$U$11,$T$11))</f>
        <v>　レベル　2</v>
      </c>
      <c r="G210" s="2685" t="s">
        <v>823</v>
      </c>
      <c r="H210" s="2684"/>
      <c r="I210" s="2684"/>
      <c r="J210" s="2684"/>
      <c r="K210" s="2684"/>
      <c r="L210" s="1266"/>
      <c r="M210" s="2684"/>
      <c r="N210" s="2684"/>
      <c r="O210" s="948"/>
    </row>
    <row r="211" spans="2:15" s="2687" customFormat="1" ht="15.75" hidden="1">
      <c r="B211" s="1">
        <v>3</v>
      </c>
      <c r="C211" s="1">
        <v>3</v>
      </c>
      <c r="D211" s="908"/>
      <c r="E211" s="1061"/>
      <c r="F211" s="942" t="str">
        <f>IF(F208=$S$16,$T$12,IF(ROUNDDOWN(F208,0)=$S$12,$U$12,$T$12))</f>
        <v>　レベル　3</v>
      </c>
      <c r="G211" s="2685" t="s">
        <v>3277</v>
      </c>
      <c r="H211" s="2684"/>
      <c r="I211" s="2684"/>
      <c r="J211" s="2684"/>
      <c r="K211" s="2684"/>
      <c r="L211" s="1266"/>
      <c r="M211" s="2684"/>
      <c r="N211" s="2684"/>
      <c r="O211" s="948"/>
    </row>
    <row r="212" spans="2:15" s="2687" customFormat="1" ht="15.75" hidden="1">
      <c r="B212" s="1">
        <v>4</v>
      </c>
      <c r="C212" s="1">
        <v>4</v>
      </c>
      <c r="D212" s="908"/>
      <c r="E212" s="1061"/>
      <c r="F212" s="942" t="str">
        <f>IF(F208=$S$16,$T$13,IF(ROUNDDOWN(F208,0)=$S$13,$U$13,$T$13))</f>
        <v>　レベル　4</v>
      </c>
      <c r="G212" s="2685" t="s">
        <v>1812</v>
      </c>
      <c r="H212" s="2684"/>
      <c r="I212" s="2684"/>
      <c r="J212" s="2684"/>
      <c r="K212" s="2684"/>
      <c r="L212" s="1266"/>
      <c r="M212" s="2684"/>
      <c r="N212" s="2684"/>
      <c r="O212" s="948"/>
    </row>
    <row r="213" spans="2:15" s="2687" customFormat="1" ht="16.5" hidden="1" thickBot="1">
      <c r="B213" s="1">
        <v>5</v>
      </c>
      <c r="C213" s="1">
        <v>5</v>
      </c>
      <c r="D213" s="908"/>
      <c r="E213" s="1061"/>
      <c r="F213" s="953" t="str">
        <f>IF(F208=$S$16,$T$14,IF(ROUNDDOWN(F208,0)=$S$14,$U$14,$T$14))</f>
        <v>■レベル　5</v>
      </c>
      <c r="G213" s="2680" t="s">
        <v>3280</v>
      </c>
      <c r="H213" s="2681"/>
      <c r="I213" s="2681"/>
      <c r="J213" s="2681"/>
      <c r="K213" s="2681"/>
      <c r="L213" s="1267"/>
      <c r="M213" s="2681"/>
      <c r="N213" s="2681"/>
      <c r="O213" s="959"/>
    </row>
    <row r="214" spans="2:15" s="2687" customFormat="1" ht="16.5" hidden="1" thickBot="1">
      <c r="B214" s="960">
        <v>0</v>
      </c>
      <c r="C214" s="960">
        <v>0</v>
      </c>
      <c r="D214" s="1326"/>
      <c r="E214" s="915"/>
      <c r="F214" s="930">
        <v>0</v>
      </c>
      <c r="G214" s="1158" t="s">
        <v>2666</v>
      </c>
      <c r="H214" s="2777" t="s">
        <v>3339</v>
      </c>
      <c r="J214" s="1235"/>
      <c r="K214" s="916"/>
      <c r="L214" s="1390"/>
      <c r="M214" s="916"/>
      <c r="N214" s="916"/>
      <c r="O214" s="916"/>
    </row>
    <row r="215" spans="2:15" s="2687" customFormat="1" ht="15.75" hidden="1">
      <c r="D215" s="908"/>
      <c r="E215" s="908"/>
      <c r="G215" s="1234" t="s">
        <v>2678</v>
      </c>
      <c r="K215" s="908"/>
      <c r="L215" s="1452"/>
      <c r="M215" s="908"/>
      <c r="N215" s="908"/>
      <c r="O215" s="908"/>
    </row>
    <row r="216" spans="2:15" s="2687" customFormat="1" ht="16.5" hidden="1" thickBot="1">
      <c r="D216" s="908"/>
      <c r="E216" s="908"/>
      <c r="G216" s="2396" t="s">
        <v>1170</v>
      </c>
      <c r="H216" s="1349" t="s">
        <v>3316</v>
      </c>
      <c r="I216" s="2736"/>
      <c r="J216" s="2736"/>
      <c r="K216" s="2736"/>
      <c r="L216" s="2736"/>
      <c r="M216" s="2736"/>
      <c r="N216" s="2736"/>
      <c r="O216" s="2737"/>
    </row>
    <row r="217" spans="2:15" s="2687" customFormat="1" ht="15.75" hidden="1">
      <c r="D217" s="908"/>
      <c r="E217" s="908"/>
      <c r="G217" s="1246" t="s">
        <v>2671</v>
      </c>
      <c r="H217" s="1183" t="s">
        <v>3317</v>
      </c>
      <c r="I217" s="1227"/>
      <c r="J217" s="1227"/>
      <c r="K217" s="1227"/>
      <c r="L217" s="1227"/>
      <c r="M217" s="1227"/>
      <c r="N217" s="1227"/>
      <c r="O217" s="2735"/>
    </row>
    <row r="218" spans="2:15" s="2687" customFormat="1" ht="15.75" hidden="1">
      <c r="D218" s="908"/>
      <c r="E218" s="908"/>
      <c r="G218" s="1249" t="s">
        <v>2671</v>
      </c>
      <c r="H218" s="1186" t="s">
        <v>3318</v>
      </c>
      <c r="I218" s="1086"/>
      <c r="J218" s="1086"/>
      <c r="K218" s="1086"/>
      <c r="L218" s="1086"/>
      <c r="M218" s="1086"/>
      <c r="N218" s="1086"/>
      <c r="O218" s="952"/>
    </row>
    <row r="219" spans="2:15" s="2687" customFormat="1" ht="15.75" hidden="1">
      <c r="D219" s="908"/>
      <c r="E219" s="908"/>
      <c r="G219" s="1249"/>
      <c r="H219" s="1186" t="s">
        <v>3319</v>
      </c>
      <c r="I219" s="1086"/>
      <c r="J219" s="1086"/>
      <c r="K219" s="1086"/>
      <c r="L219" s="1086"/>
      <c r="M219" s="1086"/>
      <c r="N219" s="1086"/>
      <c r="O219" s="952"/>
    </row>
    <row r="220" spans="2:15" s="2687" customFormat="1" ht="15.75" hidden="1">
      <c r="D220" s="908"/>
      <c r="E220" s="908"/>
      <c r="G220" s="2095"/>
      <c r="H220" s="1186" t="s">
        <v>3320</v>
      </c>
      <c r="I220" s="1086"/>
      <c r="J220" s="1086"/>
      <c r="K220" s="1086"/>
      <c r="L220" s="1086"/>
      <c r="M220" s="1086"/>
      <c r="N220" s="1086"/>
      <c r="O220" s="952"/>
    </row>
    <row r="221" spans="2:15" s="2687" customFormat="1" ht="15.75" hidden="1">
      <c r="D221" s="908"/>
      <c r="E221" s="908"/>
      <c r="G221" s="3684" t="s">
        <v>2671</v>
      </c>
      <c r="H221" s="2740" t="s">
        <v>3321</v>
      </c>
      <c r="I221" s="2739"/>
      <c r="J221" s="2739"/>
      <c r="K221" s="2739"/>
      <c r="L221" s="2739"/>
      <c r="M221" s="2739"/>
      <c r="N221" s="2739"/>
      <c r="O221" s="2741"/>
    </row>
    <row r="222" spans="2:15" s="2687" customFormat="1" ht="16.5" hidden="1" thickBot="1">
      <c r="D222" s="908"/>
      <c r="E222" s="908"/>
      <c r="G222" s="3685"/>
      <c r="H222" s="3689"/>
      <c r="I222" s="3690"/>
      <c r="J222" s="3690"/>
      <c r="K222" s="3690"/>
      <c r="L222" s="3690"/>
      <c r="M222" s="3690"/>
      <c r="N222" s="3690"/>
      <c r="O222" s="3691"/>
    </row>
    <row r="223" spans="2:15" s="2687" customFormat="1" ht="15.75" hidden="1">
      <c r="D223" s="908"/>
      <c r="E223" s="908"/>
      <c r="G223" s="2098" t="s">
        <v>39</v>
      </c>
      <c r="H223" s="2097">
        <f>COUNTIF(G217:G221,$S$3)</f>
        <v>3</v>
      </c>
      <c r="I223" s="1245"/>
      <c r="J223" s="1245"/>
      <c r="K223" s="1245"/>
      <c r="L223" s="1245"/>
      <c r="M223" s="1245"/>
      <c r="N223" s="1245"/>
      <c r="O223" s="1245"/>
    </row>
    <row r="224" spans="2:15" s="2687" customFormat="1" ht="15.75">
      <c r="B224" s="1630"/>
      <c r="C224" s="1630"/>
      <c r="D224" s="908"/>
      <c r="E224" s="908"/>
      <c r="F224" s="908"/>
      <c r="G224" s="908"/>
      <c r="H224" s="908"/>
      <c r="I224" s="908"/>
      <c r="J224" s="908"/>
      <c r="K224" s="908"/>
      <c r="L224" s="1452"/>
      <c r="M224" s="908"/>
      <c r="N224" s="908"/>
      <c r="O224" s="908"/>
    </row>
    <row r="225" spans="2:18" ht="15.75">
      <c r="D225" s="908">
        <v>3</v>
      </c>
      <c r="E225" s="1042" t="s">
        <v>1288</v>
      </c>
      <c r="F225" s="908"/>
      <c r="G225" s="908"/>
      <c r="H225" s="908"/>
      <c r="I225" s="908"/>
      <c r="J225" s="908"/>
      <c r="K225" s="908"/>
      <c r="L225" s="1452"/>
      <c r="M225" s="908"/>
      <c r="N225" s="908"/>
      <c r="O225" s="908"/>
    </row>
    <row r="226" spans="2:18" ht="15.75">
      <c r="D226" s="1326">
        <v>3.1</v>
      </c>
      <c r="E226" s="915" t="s">
        <v>1289</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1364</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502</v>
      </c>
      <c r="H228" s="935"/>
      <c r="I228" s="935"/>
      <c r="J228" s="935"/>
      <c r="K228" s="935"/>
      <c r="L228" s="1264"/>
      <c r="M228" s="935"/>
      <c r="N228" s="935"/>
      <c r="O228" s="936"/>
    </row>
    <row r="229" spans="2:18" ht="21" customHeight="1">
      <c r="B229" s="1" t="s">
        <v>3052</v>
      </c>
      <c r="C229" s="1">
        <v>1</v>
      </c>
      <c r="D229" s="908"/>
      <c r="E229" s="1061"/>
      <c r="F229" s="937" t="str">
        <f>IF(F228=$S$16,$T$10,IF(ROUNDDOWN(F228,0)=$S$10,$U$10,$T$10))</f>
        <v>　レベル　1</v>
      </c>
      <c r="G229" s="939" t="s">
        <v>2178</v>
      </c>
      <c r="H229" s="940"/>
      <c r="I229" s="940"/>
      <c r="J229" s="940"/>
      <c r="K229" s="940"/>
      <c r="L229" s="1265"/>
      <c r="M229" s="940"/>
      <c r="N229" s="940"/>
      <c r="O229" s="941"/>
    </row>
    <row r="230" spans="2:18" ht="21" customHeight="1">
      <c r="B230" s="1" t="s">
        <v>3052</v>
      </c>
      <c r="C230" s="1">
        <v>2</v>
      </c>
      <c r="D230" s="908"/>
      <c r="E230" s="1061"/>
      <c r="F230" s="942" t="str">
        <f>IF(F228=$S$16,$T$11,IF(ROUNDDOWN(F228,0)=$S$11,$U$11,$T$11))</f>
        <v>　レベル　2</v>
      </c>
      <c r="G230" s="946" t="s">
        <v>2178</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2666</v>
      </c>
      <c r="H234" s="2777" t="s">
        <v>3339</v>
      </c>
      <c r="J234" s="908"/>
      <c r="K234" s="908"/>
      <c r="L234" s="908"/>
      <c r="M234" s="908"/>
      <c r="N234" s="908"/>
      <c r="O234" s="908"/>
      <c r="R234" s="2687"/>
    </row>
    <row r="235" spans="2:18" ht="21" customHeight="1" thickBot="1">
      <c r="D235" s="908"/>
      <c r="E235" s="909"/>
      <c r="F235" s="1285"/>
      <c r="G235" s="1463" t="s">
        <v>216</v>
      </c>
      <c r="H235" s="472"/>
      <c r="I235" s="472"/>
      <c r="J235" s="1460" t="s">
        <v>480</v>
      </c>
      <c r="K235" s="1461">
        <f>COUNTIF(G238:G257,"無")</f>
        <v>0</v>
      </c>
      <c r="L235" s="1038" t="s">
        <v>2160</v>
      </c>
      <c r="M235" s="909"/>
      <c r="N235" s="909"/>
      <c r="O235" s="909"/>
    </row>
    <row r="236" spans="2:18" ht="15.75">
      <c r="D236" s="908"/>
      <c r="E236" s="909"/>
      <c r="F236" s="1464"/>
      <c r="G236" s="3700" t="s">
        <v>217</v>
      </c>
      <c r="H236" s="1411" t="s">
        <v>218</v>
      </c>
      <c r="I236" s="1465"/>
      <c r="J236" s="1411" t="s">
        <v>2764</v>
      </c>
      <c r="K236" s="1466"/>
      <c r="L236" s="1467"/>
      <c r="M236" s="904"/>
      <c r="N236" s="1233"/>
      <c r="O236" s="1233"/>
    </row>
    <row r="237" spans="2:18" ht="11.25" customHeight="1">
      <c r="D237" s="908"/>
      <c r="E237" s="909"/>
      <c r="F237" s="1468"/>
      <c r="G237" s="3701"/>
      <c r="H237" s="1356"/>
      <c r="I237" s="1469"/>
      <c r="J237" s="1470"/>
      <c r="K237" s="1471"/>
      <c r="L237" s="1472"/>
      <c r="M237" s="904"/>
      <c r="N237" s="1450"/>
      <c r="O237" s="1450"/>
    </row>
    <row r="238" spans="2:18" ht="15" customHeight="1">
      <c r="D238" s="908"/>
      <c r="E238" s="909"/>
      <c r="F238" s="1473"/>
      <c r="G238" s="1474"/>
      <c r="H238" s="1475" t="s">
        <v>2765</v>
      </c>
      <c r="I238" s="1476"/>
      <c r="J238" s="1475" t="s">
        <v>2766</v>
      </c>
      <c r="K238" s="1477"/>
      <c r="L238" s="1478"/>
      <c r="M238" s="904"/>
      <c r="N238" s="1101"/>
      <c r="O238" s="1101"/>
    </row>
    <row r="239" spans="2:18" ht="15" customHeight="1">
      <c r="D239" s="908"/>
      <c r="E239" s="909"/>
      <c r="F239" s="1479"/>
      <c r="G239" s="1480"/>
      <c r="H239" s="1481"/>
      <c r="I239" s="1482"/>
      <c r="J239" s="1481" t="s">
        <v>2767</v>
      </c>
      <c r="K239" s="1483"/>
      <c r="L239" s="1482"/>
      <c r="M239" s="904"/>
      <c r="N239" s="152"/>
      <c r="O239" s="152"/>
    </row>
    <row r="240" spans="2:18" ht="15" customHeight="1">
      <c r="D240" s="908"/>
      <c r="E240" s="909"/>
      <c r="F240" s="1484"/>
      <c r="G240" s="1480" t="s">
        <v>2668</v>
      </c>
      <c r="H240" s="1481"/>
      <c r="I240" s="1482"/>
      <c r="J240" s="1481" t="s">
        <v>2768</v>
      </c>
      <c r="K240" s="1483"/>
      <c r="L240" s="1482"/>
      <c r="M240" s="904"/>
      <c r="N240" s="1485"/>
      <c r="O240" s="1485"/>
    </row>
    <row r="241" spans="4:15" ht="15" customHeight="1">
      <c r="D241" s="908"/>
      <c r="E241" s="909"/>
      <c r="F241" s="1479"/>
      <c r="G241" s="1486"/>
      <c r="H241" s="1487"/>
      <c r="I241" s="1488"/>
      <c r="J241" s="1487" t="s">
        <v>2769</v>
      </c>
      <c r="K241" s="1489"/>
      <c r="L241" s="1490"/>
      <c r="M241" s="904"/>
      <c r="N241" s="152"/>
      <c r="O241" s="152"/>
    </row>
    <row r="242" spans="4:15" ht="15" customHeight="1">
      <c r="D242" s="908"/>
      <c r="E242" s="909"/>
      <c r="F242" s="1479"/>
      <c r="G242" s="1474" t="s">
        <v>2668</v>
      </c>
      <c r="H242" s="1475" t="s">
        <v>2770</v>
      </c>
      <c r="I242" s="1476"/>
      <c r="J242" s="1475" t="s">
        <v>2771</v>
      </c>
      <c r="K242" s="1477"/>
      <c r="L242" s="1478"/>
      <c r="M242" s="904"/>
      <c r="N242" s="152"/>
      <c r="O242" s="152"/>
    </row>
    <row r="243" spans="4:15" ht="15" customHeight="1">
      <c r="D243" s="908"/>
      <c r="E243" s="909"/>
      <c r="F243" s="1479"/>
      <c r="G243" s="1480" t="s">
        <v>2668</v>
      </c>
      <c r="H243" s="1481"/>
      <c r="I243" s="1100"/>
      <c r="J243" s="1481" t="s">
        <v>2772</v>
      </c>
      <c r="K243" s="1491"/>
      <c r="L243" s="1482"/>
      <c r="M243" s="904"/>
      <c r="N243" s="152"/>
      <c r="O243" s="152"/>
    </row>
    <row r="244" spans="4:15" ht="15" customHeight="1">
      <c r="D244" s="908"/>
      <c r="E244" s="909"/>
      <c r="F244" s="1479"/>
      <c r="G244" s="1480" t="s">
        <v>2668</v>
      </c>
      <c r="H244" s="1481"/>
      <c r="I244" s="1100"/>
      <c r="J244" s="1481" t="s">
        <v>2773</v>
      </c>
      <c r="K244" s="1491"/>
      <c r="L244" s="1482"/>
      <c r="M244" s="904"/>
      <c r="N244" s="152"/>
      <c r="O244" s="152"/>
    </row>
    <row r="245" spans="4:15" ht="15" customHeight="1">
      <c r="D245" s="908"/>
      <c r="E245" s="909"/>
      <c r="F245" s="1479"/>
      <c r="G245" s="1486" t="s">
        <v>2668</v>
      </c>
      <c r="H245" s="1487"/>
      <c r="I245" s="1488"/>
      <c r="J245" s="1487" t="s">
        <v>2774</v>
      </c>
      <c r="K245" s="1489"/>
      <c r="L245" s="1490"/>
      <c r="M245" s="904"/>
      <c r="N245" s="152"/>
      <c r="O245" s="152"/>
    </row>
    <row r="246" spans="4:15" ht="15" customHeight="1">
      <c r="D246" s="908"/>
      <c r="E246" s="909"/>
      <c r="F246" s="1492"/>
      <c r="G246" s="1474" t="s">
        <v>2668</v>
      </c>
      <c r="H246" s="1475" t="s">
        <v>2775</v>
      </c>
      <c r="I246" s="1476"/>
      <c r="J246" s="1475" t="s">
        <v>2776</v>
      </c>
      <c r="K246" s="1477"/>
      <c r="L246" s="1478"/>
      <c r="M246" s="904"/>
      <c r="N246" s="1493"/>
      <c r="O246" s="1493"/>
    </row>
    <row r="247" spans="4:15" ht="15" customHeight="1">
      <c r="D247" s="908"/>
      <c r="E247" s="909"/>
      <c r="F247" s="1484"/>
      <c r="G247" s="1486" t="s">
        <v>2668</v>
      </c>
      <c r="H247" s="1487"/>
      <c r="I247" s="1488"/>
      <c r="J247" s="1487" t="s">
        <v>2376</v>
      </c>
      <c r="K247" s="1489"/>
      <c r="L247" s="1490"/>
      <c r="M247" s="904"/>
      <c r="N247" s="1485"/>
      <c r="O247" s="1485"/>
    </row>
    <row r="248" spans="4:15" ht="15" customHeight="1">
      <c r="D248" s="908"/>
      <c r="E248" s="909"/>
      <c r="F248" s="1479"/>
      <c r="G248" s="1474" t="s">
        <v>2668</v>
      </c>
      <c r="H248" s="1475" t="s">
        <v>2377</v>
      </c>
      <c r="I248" s="1476"/>
      <c r="J248" s="1475" t="s">
        <v>2378</v>
      </c>
      <c r="K248" s="1477"/>
      <c r="L248" s="1478"/>
      <c r="M248" s="904"/>
      <c r="N248" s="152"/>
      <c r="O248" s="152"/>
    </row>
    <row r="249" spans="4:15" ht="15" customHeight="1">
      <c r="D249" s="908"/>
      <c r="E249" s="909"/>
      <c r="F249" s="1479"/>
      <c r="G249" s="1480" t="s">
        <v>2668</v>
      </c>
      <c r="H249" s="1481"/>
      <c r="I249" s="1100"/>
      <c r="J249" s="1481" t="s">
        <v>2379</v>
      </c>
      <c r="K249" s="1491"/>
      <c r="L249" s="1482"/>
      <c r="M249" s="904"/>
      <c r="N249" s="152"/>
      <c r="O249" s="152"/>
    </row>
    <row r="250" spans="4:15" ht="15" customHeight="1">
      <c r="D250" s="908"/>
      <c r="E250" s="909"/>
      <c r="F250" s="1479"/>
      <c r="G250" s="1480" t="s">
        <v>2668</v>
      </c>
      <c r="H250" s="1481"/>
      <c r="I250" s="1100"/>
      <c r="J250" s="1481" t="s">
        <v>2380</v>
      </c>
      <c r="K250" s="1491"/>
      <c r="L250" s="1482"/>
      <c r="M250" s="904"/>
      <c r="N250" s="152"/>
      <c r="O250" s="152"/>
    </row>
    <row r="251" spans="4:15" ht="15" customHeight="1">
      <c r="D251" s="908"/>
      <c r="E251" s="909"/>
      <c r="F251" s="1479"/>
      <c r="G251" s="1486" t="s">
        <v>2668</v>
      </c>
      <c r="H251" s="1487"/>
      <c r="I251" s="1488"/>
      <c r="J251" s="1487" t="s">
        <v>2381</v>
      </c>
      <c r="K251" s="1489"/>
      <c r="L251" s="1490"/>
      <c r="M251" s="904"/>
      <c r="N251" s="152"/>
      <c r="O251" s="152"/>
    </row>
    <row r="252" spans="4:15" ht="15" customHeight="1">
      <c r="D252" s="908"/>
      <c r="E252" s="909"/>
      <c r="F252" s="1479"/>
      <c r="G252" s="1474" t="s">
        <v>2668</v>
      </c>
      <c r="H252" s="1475" t="s">
        <v>2759</v>
      </c>
      <c r="I252" s="1476"/>
      <c r="J252" s="1475" t="s">
        <v>2760</v>
      </c>
      <c r="K252" s="1477"/>
      <c r="L252" s="1478"/>
      <c r="M252" s="904"/>
      <c r="N252" s="152"/>
      <c r="O252" s="152"/>
    </row>
    <row r="253" spans="4:15" ht="15" customHeight="1">
      <c r="D253" s="908"/>
      <c r="E253" s="909"/>
      <c r="F253" s="1484"/>
      <c r="G253" s="1486" t="s">
        <v>2668</v>
      </c>
      <c r="H253" s="1487"/>
      <c r="I253" s="1488"/>
      <c r="J253" s="1487" t="s">
        <v>2761</v>
      </c>
      <c r="K253" s="1489"/>
      <c r="L253" s="1490"/>
      <c r="M253" s="904"/>
      <c r="N253" s="1485"/>
      <c r="O253" s="1485"/>
    </row>
    <row r="254" spans="4:15" ht="15" customHeight="1">
      <c r="D254" s="908"/>
      <c r="E254" s="909"/>
      <c r="F254" s="1479"/>
      <c r="G254" s="1474"/>
      <c r="H254" s="1494" t="s">
        <v>2762</v>
      </c>
      <c r="I254" s="1495"/>
      <c r="J254" s="1494" t="s">
        <v>1841</v>
      </c>
      <c r="K254" s="1496"/>
      <c r="L254" s="1495"/>
      <c r="M254" s="904"/>
      <c r="N254" s="152"/>
      <c r="O254" s="152"/>
    </row>
    <row r="255" spans="4:15" ht="15" customHeight="1">
      <c r="D255" s="908"/>
      <c r="E255" s="909"/>
      <c r="F255" s="1479"/>
      <c r="G255" s="1480"/>
      <c r="H255" s="1481" t="s">
        <v>1842</v>
      </c>
      <c r="I255" s="1100"/>
      <c r="J255" s="1481" t="s">
        <v>1843</v>
      </c>
      <c r="K255" s="1491"/>
      <c r="L255" s="1100"/>
      <c r="M255" s="904"/>
      <c r="N255" s="152"/>
      <c r="O255" s="152"/>
    </row>
    <row r="256" spans="4:15" ht="15" customHeight="1">
      <c r="D256" s="908"/>
      <c r="E256" s="909"/>
      <c r="F256" s="1479"/>
      <c r="G256" s="1480"/>
      <c r="H256" s="1481" t="s">
        <v>1844</v>
      </c>
      <c r="I256" s="1100"/>
      <c r="J256" s="1481" t="s">
        <v>2751</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1290</v>
      </c>
      <c r="F259" s="915"/>
      <c r="G259" s="1144"/>
      <c r="H259" s="916"/>
      <c r="I259" s="916"/>
      <c r="J259" s="916"/>
      <c r="K259" s="1144"/>
      <c r="L259" s="1390"/>
      <c r="M259" s="916"/>
      <c r="N259" s="1144"/>
      <c r="O259" s="916"/>
    </row>
    <row r="260" spans="2:15" ht="13.5" customHeight="1">
      <c r="D260" s="1326"/>
      <c r="E260" s="915"/>
      <c r="F260" s="1064" t="s">
        <v>2752</v>
      </c>
      <c r="G260" s="1144"/>
      <c r="H260" s="916"/>
      <c r="I260" s="916"/>
      <c r="J260" s="999" t="str">
        <f>IF(OR(F262=0,J261=0),$R$3,"")</f>
        <v/>
      </c>
      <c r="K260" s="1064" t="s">
        <v>2753</v>
      </c>
      <c r="L260" s="1390"/>
      <c r="M260" s="916"/>
      <c r="N260" s="1144"/>
      <c r="O260" s="999" t="str">
        <f>IF(OR(K262=0,O261=0),$R$3,"")</f>
        <v/>
      </c>
    </row>
    <row r="261" spans="2:15" ht="13.5" customHeight="1" thickBot="1">
      <c r="D261" s="908"/>
      <c r="E261" s="1061"/>
      <c r="F261" s="923"/>
      <c r="G261" s="924"/>
      <c r="H261" s="925"/>
      <c r="I261" s="926" t="s">
        <v>1364</v>
      </c>
      <c r="J261" s="929">
        <f>重み!M169</f>
        <v>0.33333333333333331</v>
      </c>
      <c r="K261" s="923"/>
      <c r="L261" s="924"/>
      <c r="M261" s="925"/>
      <c r="N261" s="926" t="s">
        <v>1364</v>
      </c>
      <c r="O261" s="929">
        <f>重み!M170</f>
        <v>0.33333333333333331</v>
      </c>
    </row>
    <row r="262" spans="2:15" ht="27" customHeight="1" thickBot="1">
      <c r="D262" s="908"/>
      <c r="E262" s="1061"/>
      <c r="F262" s="930">
        <v>4</v>
      </c>
      <c r="G262" s="934" t="s">
        <v>502</v>
      </c>
      <c r="H262" s="935"/>
      <c r="I262" s="935"/>
      <c r="J262" s="1046" t="s">
        <v>1325</v>
      </c>
      <c r="K262" s="930">
        <v>3</v>
      </c>
      <c r="L262" s="1504" t="s">
        <v>502</v>
      </c>
      <c r="M262" s="935"/>
      <c r="N262" s="935"/>
      <c r="O262" s="936"/>
    </row>
    <row r="263" spans="2:15" ht="24.75" customHeight="1">
      <c r="B263" s="1">
        <v>1</v>
      </c>
      <c r="C263" s="1505">
        <v>1</v>
      </c>
      <c r="D263" s="908"/>
      <c r="E263" s="1061"/>
      <c r="F263" s="937" t="str">
        <f>IF(F262=$S$16,$T$10,IF(ROUNDDOWN(F262,0)=$S$10,$U$10,$T$10))</f>
        <v>　レベル　1</v>
      </c>
      <c r="G263" s="3381" t="s">
        <v>2754</v>
      </c>
      <c r="H263" s="3401"/>
      <c r="I263" s="3387"/>
      <c r="J263" s="3686" t="s">
        <v>121</v>
      </c>
      <c r="K263" s="937" t="str">
        <f>IF(K262=$S$16,$T$10,IF(ROUNDDOWN(K262,0)=$S$10,$U$10,$T$10))</f>
        <v>　レベル　1</v>
      </c>
      <c r="L263" s="939" t="s">
        <v>2755</v>
      </c>
      <c r="M263" s="940"/>
      <c r="N263" s="940"/>
      <c r="O263" s="941"/>
    </row>
    <row r="264" spans="2:15" ht="21" customHeight="1">
      <c r="B264" s="1">
        <v>2</v>
      </c>
      <c r="C264" s="1505">
        <v>2</v>
      </c>
      <c r="D264" s="908"/>
      <c r="E264" s="1061"/>
      <c r="F264" s="942" t="str">
        <f>IF(F262=$S$16,$T$11,IF(ROUNDDOWN(F262,0)=$S$11,$U$11,$T$11))</f>
        <v>　レベル　2</v>
      </c>
      <c r="G264" s="946" t="s">
        <v>2756</v>
      </c>
      <c r="H264" s="947"/>
      <c r="I264" s="947"/>
      <c r="J264" s="3687"/>
      <c r="K264" s="942" t="str">
        <f>IF(K262=$S$16,$T$11,IF(ROUNDDOWN(K262,0)=$S$11,$U$11,$T$11))</f>
        <v>　レベル　2</v>
      </c>
      <c r="L264" s="946" t="s">
        <v>2757</v>
      </c>
      <c r="M264" s="947"/>
      <c r="N264" s="947"/>
      <c r="O264" s="948"/>
    </row>
    <row r="265" spans="2:15" ht="21" customHeight="1">
      <c r="B265" s="1" t="s">
        <v>1161</v>
      </c>
      <c r="C265" s="1">
        <v>3</v>
      </c>
      <c r="D265" s="908"/>
      <c r="E265" s="1061"/>
      <c r="F265" s="942" t="str">
        <f>IF(F262=$S$16,$T$12,IF(ROUNDDOWN(F262,0)=$S$12,$U$12,$T$12))</f>
        <v>　レベル　3</v>
      </c>
      <c r="G265" s="946" t="s">
        <v>2178</v>
      </c>
      <c r="H265" s="947"/>
      <c r="I265" s="947"/>
      <c r="J265" s="3687"/>
      <c r="K265" s="942" t="str">
        <f>IF(K262=$S$16,$T$12,IF(ROUNDDOWN(K262,0)=$S$12,$U$12,$T$12))</f>
        <v>■レベル　3</v>
      </c>
      <c r="L265" s="946" t="s">
        <v>2758</v>
      </c>
      <c r="M265" s="947"/>
      <c r="N265" s="947"/>
      <c r="O265" s="948"/>
    </row>
    <row r="266" spans="2:15" ht="40.5" customHeight="1">
      <c r="B266" s="1">
        <v>4</v>
      </c>
      <c r="C266" s="1">
        <v>4</v>
      </c>
      <c r="D266" s="908"/>
      <c r="E266" s="1061"/>
      <c r="F266" s="942" t="str">
        <f>IF(F262=$S$16,$T$13,IF(ROUNDDOWN(F262,0)=$S$13,$U$13,$T$13))</f>
        <v>■レベル　4</v>
      </c>
      <c r="G266" s="3385" t="s">
        <v>69</v>
      </c>
      <c r="H266" s="3402"/>
      <c r="I266" s="3429"/>
      <c r="J266" s="3687"/>
      <c r="K266" s="942" t="str">
        <f>IF(K262=$S$16,$T$13,IF(ROUNDDOWN(K262,0)=$S$13,$U$13,$T$13))</f>
        <v>　レベル　4</v>
      </c>
      <c r="L266" s="3385" t="s">
        <v>70</v>
      </c>
      <c r="M266" s="3402"/>
      <c r="N266" s="3402"/>
      <c r="O266" s="3429"/>
    </row>
    <row r="267" spans="2:15" ht="37.5" customHeight="1">
      <c r="B267" s="1" t="s">
        <v>1162</v>
      </c>
      <c r="C267" s="1">
        <v>5</v>
      </c>
      <c r="D267" s="908"/>
      <c r="E267" s="1059"/>
      <c r="F267" s="953" t="str">
        <f>IF(F262=$S$16,$T$14,IF(ROUNDDOWN(F262,0)=$S$14,$U$14,$T$14))</f>
        <v>　レベル　5</v>
      </c>
      <c r="G267" s="957" t="s">
        <v>2178</v>
      </c>
      <c r="H267" s="958"/>
      <c r="I267" s="958"/>
      <c r="J267" s="3688"/>
      <c r="K267" s="953" t="str">
        <f>IF(K262=$S$16,$T$14,IF(ROUNDDOWN(K262,0)=$S$14,$U$14,$T$14))</f>
        <v>　レベル　5</v>
      </c>
      <c r="L267" s="3383" t="s">
        <v>3038</v>
      </c>
      <c r="M267" s="3407"/>
      <c r="N267" s="3407"/>
      <c r="O267" s="3413"/>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2137</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1364</v>
      </c>
      <c r="J270" s="929">
        <f>重み!M171</f>
        <v>0.33333333333333331</v>
      </c>
      <c r="K270" s="1229"/>
      <c r="L270" s="1458"/>
      <c r="M270" s="1458"/>
      <c r="N270" s="1458"/>
      <c r="O270" s="1458"/>
    </row>
    <row r="271" spans="2:15" ht="27" customHeight="1" thickBot="1">
      <c r="D271" s="908"/>
      <c r="E271" s="1059"/>
      <c r="F271" s="930">
        <v>3</v>
      </c>
      <c r="G271" s="934" t="s">
        <v>502</v>
      </c>
      <c r="H271" s="935"/>
      <c r="I271" s="935"/>
      <c r="J271" s="936"/>
      <c r="K271" s="1072" t="s">
        <v>1325</v>
      </c>
      <c r="L271" s="1458"/>
      <c r="M271" s="1458"/>
      <c r="N271" s="1458"/>
      <c r="O271" s="1458"/>
    </row>
    <row r="272" spans="2:15" ht="15.75">
      <c r="B272" s="1" t="s">
        <v>2842</v>
      </c>
      <c r="C272" s="1">
        <v>1</v>
      </c>
      <c r="D272" s="908"/>
      <c r="E272" s="1059"/>
      <c r="F272" s="937" t="str">
        <f>IF(F271=$S$16,$T$10,IF(ROUNDDOWN(F271,0)=$S$10,$U$10,$T$10))</f>
        <v>　レベル　1</v>
      </c>
      <c r="G272" s="2763" t="s">
        <v>2178</v>
      </c>
      <c r="H272" s="2764"/>
      <c r="I272" s="2764"/>
      <c r="J272" s="2764"/>
      <c r="K272" s="3686" t="s">
        <v>120</v>
      </c>
      <c r="L272" s="1458"/>
      <c r="M272" s="1458"/>
      <c r="N272" s="1458"/>
      <c r="O272" s="1458"/>
    </row>
    <row r="273" spans="2:15" ht="21" customHeight="1">
      <c r="B273" s="1">
        <v>2</v>
      </c>
      <c r="C273" s="1">
        <v>2</v>
      </c>
      <c r="D273" s="908"/>
      <c r="E273" s="1059"/>
      <c r="F273" s="942" t="str">
        <f>IF(F271=$S$16,$T$11,IF(ROUNDDOWN(F271,0)=$S$11,$U$11,$T$11))</f>
        <v>　レベル　2</v>
      </c>
      <c r="G273" s="2119" t="s">
        <v>2138</v>
      </c>
      <c r="H273" s="2764"/>
      <c r="I273" s="2764"/>
      <c r="J273" s="2764"/>
      <c r="K273" s="3687"/>
      <c r="L273" s="1458"/>
      <c r="M273" s="1458"/>
      <c r="N273" s="1458"/>
      <c r="O273" s="1458"/>
    </row>
    <row r="274" spans="2:15" ht="21" customHeight="1">
      <c r="B274" s="1">
        <v>3</v>
      </c>
      <c r="C274" s="1">
        <v>3</v>
      </c>
      <c r="D274" s="908"/>
      <c r="E274" s="1059"/>
      <c r="F274" s="942" t="str">
        <f>IF(F271=$S$16,$T$12,IF(ROUNDDOWN(F271,0)=$S$12,$U$12,$T$12))</f>
        <v>■レベル　3</v>
      </c>
      <c r="G274" s="2119" t="s">
        <v>2139</v>
      </c>
      <c r="H274" s="2764"/>
      <c r="I274" s="2764"/>
      <c r="J274" s="2764"/>
      <c r="K274" s="3687"/>
      <c r="L274" s="1458"/>
      <c r="M274" s="1458"/>
      <c r="N274" s="1458"/>
      <c r="O274" s="1458"/>
    </row>
    <row r="275" spans="2:15" ht="27" customHeight="1">
      <c r="B275" s="1">
        <v>4</v>
      </c>
      <c r="C275" s="1">
        <v>4</v>
      </c>
      <c r="D275" s="908"/>
      <c r="E275" s="1059"/>
      <c r="F275" s="942" t="str">
        <f>IF(F271=$S$16,$T$13,IF(ROUNDDOWN(F271,0)=$S$13,$U$13,$T$13))</f>
        <v>　レベル　4</v>
      </c>
      <c r="G275" s="3385" t="s">
        <v>2140</v>
      </c>
      <c r="H275" s="3408"/>
      <c r="I275" s="3408"/>
      <c r="J275" s="3409"/>
      <c r="K275" s="3687"/>
      <c r="L275" s="1458"/>
      <c r="M275" s="1458"/>
      <c r="N275" s="1458"/>
      <c r="O275" s="1458"/>
    </row>
    <row r="276" spans="2:15" ht="15.75">
      <c r="B276" s="1" t="s">
        <v>2842</v>
      </c>
      <c r="C276" s="1">
        <v>5</v>
      </c>
      <c r="D276" s="908"/>
      <c r="E276" s="1059"/>
      <c r="F276" s="953" t="str">
        <f>IF(F271=$S$16,$T$14,IF(ROUNDDOWN(F271,0)=$S$14,$U$14,$T$14))</f>
        <v>　レベル　5</v>
      </c>
      <c r="G276" s="2760" t="s">
        <v>2178</v>
      </c>
      <c r="H276" s="2761"/>
      <c r="I276" s="2761"/>
      <c r="J276" s="2761"/>
      <c r="K276" s="3688"/>
      <c r="L276" s="1458"/>
      <c r="M276" s="1458"/>
      <c r="N276" s="1458"/>
      <c r="O276" s="1458"/>
    </row>
    <row r="277" spans="2:15" ht="13.5" customHeight="1">
      <c r="B277" s="960">
        <v>0</v>
      </c>
      <c r="C277" s="960">
        <v>0</v>
      </c>
      <c r="D277" s="908"/>
      <c r="E277" s="909"/>
      <c r="F277" s="1506" t="s">
        <v>2141</v>
      </c>
      <c r="G277" s="1507"/>
      <c r="H277" s="1507"/>
      <c r="I277" s="1507"/>
      <c r="J277" s="1507"/>
      <c r="K277" s="1507"/>
      <c r="L277" s="1508"/>
      <c r="M277" s="1458"/>
      <c r="N277" s="1458"/>
      <c r="O277" s="1458"/>
    </row>
    <row r="278" spans="2:15" ht="13.5" customHeight="1">
      <c r="D278" s="908"/>
      <c r="E278" s="909"/>
      <c r="F278" s="1509" t="s">
        <v>2142</v>
      </c>
      <c r="G278" s="1510"/>
      <c r="H278" s="1511"/>
      <c r="I278" s="1512" t="s">
        <v>2143</v>
      </c>
      <c r="J278" s="1513"/>
      <c r="K278" s="1513"/>
      <c r="L278" s="1514"/>
      <c r="M278" s="1513"/>
      <c r="N278" s="1513"/>
      <c r="O278" s="1515"/>
    </row>
    <row r="279" spans="2:15" ht="13.5" customHeight="1">
      <c r="D279" s="908"/>
      <c r="E279" s="909"/>
      <c r="F279" s="1048" t="s">
        <v>706</v>
      </c>
      <c r="G279" s="1509" t="s">
        <v>1028</v>
      </c>
      <c r="H279" s="1511"/>
      <c r="I279" s="1516" t="s">
        <v>707</v>
      </c>
      <c r="J279" s="1517"/>
      <c r="K279" s="1517"/>
      <c r="L279" s="1518"/>
      <c r="M279" s="1517"/>
      <c r="N279" s="1517"/>
      <c r="O279" s="1519"/>
    </row>
    <row r="280" spans="2:15" ht="13.5" customHeight="1">
      <c r="D280" s="908"/>
      <c r="E280" s="909"/>
      <c r="F280" s="1520"/>
      <c r="G280" s="1509" t="s">
        <v>708</v>
      </c>
      <c r="H280" s="1511"/>
      <c r="I280" s="1509" t="s">
        <v>1029</v>
      </c>
      <c r="J280" s="1510"/>
      <c r="K280" s="1510"/>
      <c r="L280" s="1521"/>
      <c r="M280" s="1510"/>
      <c r="N280" s="1510"/>
      <c r="O280" s="1511"/>
    </row>
    <row r="281" spans="2:15" ht="13.5" customHeight="1">
      <c r="D281" s="908"/>
      <c r="E281" s="909"/>
      <c r="F281" s="1520"/>
      <c r="G281" s="1509" t="s">
        <v>709</v>
      </c>
      <c r="H281" s="1511"/>
      <c r="I281" s="1509" t="s">
        <v>1030</v>
      </c>
      <c r="J281" s="1510"/>
      <c r="K281" s="1510"/>
      <c r="L281" s="1521"/>
      <c r="M281" s="1510"/>
      <c r="N281" s="1510"/>
      <c r="O281" s="1511"/>
    </row>
    <row r="282" spans="2:15" ht="13.5" customHeight="1">
      <c r="D282" s="908"/>
      <c r="E282" s="909"/>
      <c r="F282" s="1520"/>
      <c r="G282" s="1509" t="s">
        <v>710</v>
      </c>
      <c r="H282" s="1511"/>
      <c r="I282" s="1509" t="s">
        <v>1031</v>
      </c>
      <c r="J282" s="1510"/>
      <c r="K282" s="1510"/>
      <c r="L282" s="1521"/>
      <c r="M282" s="1510"/>
      <c r="N282" s="1510"/>
      <c r="O282" s="1511"/>
    </row>
    <row r="283" spans="2:15" ht="13.5" customHeight="1">
      <c r="D283" s="908"/>
      <c r="E283" s="909"/>
      <c r="F283" s="1375"/>
      <c r="G283" s="1509" t="s">
        <v>711</v>
      </c>
      <c r="H283" s="1511"/>
      <c r="I283" s="1509" t="s">
        <v>1032</v>
      </c>
      <c r="J283" s="1510"/>
      <c r="K283" s="1510"/>
      <c r="L283" s="1521"/>
      <c r="M283" s="1510"/>
      <c r="N283" s="1510"/>
      <c r="O283" s="1511"/>
    </row>
    <row r="284" spans="2:15" ht="13.5" customHeight="1">
      <c r="D284" s="908"/>
      <c r="E284" s="909"/>
      <c r="F284" s="1522" t="s">
        <v>2203</v>
      </c>
      <c r="G284" s="1509" t="s">
        <v>1033</v>
      </c>
      <c r="H284" s="1511"/>
      <c r="I284" s="1509" t="s">
        <v>1034</v>
      </c>
      <c r="J284" s="1510"/>
      <c r="K284" s="1510"/>
      <c r="L284" s="1521"/>
      <c r="M284" s="1510"/>
      <c r="N284" s="1510"/>
      <c r="O284" s="1511"/>
    </row>
    <row r="285" spans="2:15" ht="13.5" customHeight="1">
      <c r="D285" s="908"/>
      <c r="E285" s="909"/>
      <c r="F285" s="1522" t="s">
        <v>2204</v>
      </c>
      <c r="G285" s="1509" t="s">
        <v>1035</v>
      </c>
      <c r="H285" s="1511"/>
      <c r="I285" s="1509" t="s">
        <v>1036</v>
      </c>
      <c r="J285" s="1510"/>
      <c r="K285" s="1510"/>
      <c r="L285" s="1521"/>
      <c r="M285" s="1510"/>
      <c r="N285" s="1510"/>
      <c r="O285" s="1511"/>
    </row>
    <row r="286" spans="2:15" ht="13.5" customHeight="1">
      <c r="D286" s="908"/>
      <c r="E286" s="909"/>
      <c r="F286" s="1522" t="s">
        <v>1037</v>
      </c>
      <c r="G286" s="1509" t="s">
        <v>677</v>
      </c>
      <c r="H286" s="1511"/>
      <c r="I286" s="1509" t="s">
        <v>1381</v>
      </c>
      <c r="J286" s="1510"/>
      <c r="K286" s="1510"/>
      <c r="L286" s="1521"/>
      <c r="M286" s="1510"/>
      <c r="N286" s="1510"/>
      <c r="O286" s="1511"/>
    </row>
    <row r="287" spans="2:15" ht="13.5" customHeight="1">
      <c r="D287" s="908"/>
      <c r="E287" s="909"/>
      <c r="F287" s="1523" t="s">
        <v>2205</v>
      </c>
      <c r="G287" s="1229"/>
      <c r="H287" s="1229"/>
      <c r="I287" s="1229"/>
      <c r="J287" s="1229"/>
      <c r="K287" s="1229"/>
      <c r="L287" s="1524"/>
      <c r="M287" s="1458"/>
      <c r="N287" s="1458"/>
      <c r="O287" s="1458"/>
    </row>
    <row r="288" spans="2:15" ht="13.5" customHeight="1">
      <c r="D288" s="908"/>
      <c r="E288" s="909"/>
      <c r="F288" s="1525" t="s">
        <v>1382</v>
      </c>
      <c r="G288" s="1526"/>
      <c r="H288" s="1527"/>
      <c r="I288" s="1528" t="s">
        <v>1383</v>
      </c>
      <c r="J288" s="1529" t="s">
        <v>1384</v>
      </c>
      <c r="K288" s="1530"/>
      <c r="L288" s="1531" t="s">
        <v>2206</v>
      </c>
      <c r="M288" s="1532" t="s">
        <v>1385</v>
      </c>
      <c r="O288" s="1458"/>
    </row>
    <row r="289" spans="4:15" ht="13.5" customHeight="1">
      <c r="D289" s="908"/>
      <c r="E289" s="909"/>
      <c r="F289" s="1533" t="s">
        <v>1386</v>
      </c>
      <c r="G289" s="1534"/>
      <c r="H289" s="1535"/>
      <c r="I289" s="1528" t="s">
        <v>1387</v>
      </c>
      <c r="J289" s="1525" t="s">
        <v>2207</v>
      </c>
      <c r="K289" s="1527"/>
      <c r="L289" s="1536">
        <v>1</v>
      </c>
      <c r="M289" s="1537">
        <v>4750</v>
      </c>
      <c r="O289" s="1458"/>
    </row>
    <row r="290" spans="4:15" ht="13.5" customHeight="1">
      <c r="D290" s="908"/>
      <c r="E290" s="909"/>
      <c r="F290" s="1538"/>
      <c r="G290" s="1539"/>
      <c r="H290" s="1540"/>
      <c r="I290" s="1528" t="s">
        <v>407</v>
      </c>
      <c r="J290" s="1525" t="s">
        <v>2208</v>
      </c>
      <c r="K290" s="1527"/>
      <c r="L290" s="1536">
        <v>0.11</v>
      </c>
      <c r="M290" s="1541">
        <v>725</v>
      </c>
      <c r="O290" s="1458"/>
    </row>
    <row r="291" spans="4:15" ht="13.5" customHeight="1">
      <c r="D291" s="908"/>
      <c r="E291" s="909"/>
      <c r="F291" s="1542" t="s">
        <v>408</v>
      </c>
      <c r="G291" s="1543"/>
      <c r="H291" s="1544"/>
      <c r="I291" s="1525" t="s">
        <v>409</v>
      </c>
      <c r="J291" s="1525" t="s">
        <v>2209</v>
      </c>
      <c r="K291" s="1527"/>
      <c r="L291" s="1536">
        <v>0</v>
      </c>
      <c r="M291" s="1545">
        <v>1430</v>
      </c>
      <c r="O291" s="1458"/>
    </row>
    <row r="292" spans="4:15" ht="13.5" customHeight="1">
      <c r="D292" s="908"/>
      <c r="E292" s="909"/>
      <c r="F292" s="1546"/>
      <c r="G292" s="1547"/>
      <c r="H292" s="1548"/>
      <c r="I292" s="1525"/>
      <c r="J292" s="1525" t="s">
        <v>2210</v>
      </c>
      <c r="K292" s="1527"/>
      <c r="L292" s="1536">
        <v>0</v>
      </c>
      <c r="M292" s="1541">
        <v>560</v>
      </c>
      <c r="O292" s="1458"/>
    </row>
    <row r="293" spans="4:15" ht="13.5" customHeight="1">
      <c r="D293" s="908"/>
      <c r="E293" s="909"/>
      <c r="F293" s="1549"/>
      <c r="G293" s="1550"/>
      <c r="H293" s="1551"/>
      <c r="I293" s="1525"/>
      <c r="J293" s="1525" t="s">
        <v>812</v>
      </c>
      <c r="K293" s="1527"/>
      <c r="L293" s="1536">
        <v>0</v>
      </c>
      <c r="M293" s="1541">
        <v>3</v>
      </c>
      <c r="O293" s="1458"/>
    </row>
    <row r="294" spans="4:15" ht="13.5" customHeight="1">
      <c r="D294" s="908"/>
      <c r="E294" s="909"/>
      <c r="F294" s="1533" t="s">
        <v>410</v>
      </c>
      <c r="G294" s="1534"/>
      <c r="H294" s="1535"/>
      <c r="I294" s="1528" t="s">
        <v>1387</v>
      </c>
      <c r="J294" s="1525" t="s">
        <v>813</v>
      </c>
      <c r="K294" s="1527"/>
      <c r="L294" s="1536">
        <v>1</v>
      </c>
      <c r="M294" s="1545">
        <v>10900</v>
      </c>
      <c r="O294" s="1458"/>
    </row>
    <row r="295" spans="4:15" ht="13.5" customHeight="1">
      <c r="D295" s="908"/>
      <c r="E295" s="909"/>
      <c r="F295" s="1552"/>
      <c r="G295" s="1553"/>
      <c r="H295" s="1554"/>
      <c r="I295" s="1528" t="s">
        <v>407</v>
      </c>
      <c r="J295" s="1525" t="s">
        <v>814</v>
      </c>
      <c r="K295" s="1527"/>
      <c r="L295" s="1536">
        <v>6.5000000000000002E-2</v>
      </c>
      <c r="M295" s="1545">
        <v>2310</v>
      </c>
      <c r="O295" s="1458"/>
    </row>
    <row r="296" spans="4:15" ht="13.5" customHeight="1">
      <c r="D296" s="908"/>
      <c r="E296" s="909"/>
      <c r="F296" s="1538"/>
      <c r="G296" s="1539"/>
      <c r="H296" s="1540"/>
      <c r="I296" s="1528" t="s">
        <v>409</v>
      </c>
      <c r="J296" s="1525" t="s">
        <v>2209</v>
      </c>
      <c r="K296" s="1527"/>
      <c r="L296" s="1536">
        <v>0</v>
      </c>
      <c r="M296" s="1545">
        <v>1430</v>
      </c>
      <c r="O296" s="1458"/>
    </row>
    <row r="297" spans="4:15" ht="13.5" customHeight="1">
      <c r="D297" s="908"/>
      <c r="E297" s="909"/>
      <c r="F297" s="1533" t="s">
        <v>815</v>
      </c>
      <c r="G297" s="1534"/>
      <c r="H297" s="1535"/>
      <c r="I297" s="1528" t="s">
        <v>1387</v>
      </c>
      <c r="J297" s="1525" t="s">
        <v>816</v>
      </c>
      <c r="K297" s="1527"/>
      <c r="L297" s="1536">
        <v>0.8</v>
      </c>
      <c r="M297" s="1545">
        <v>6130</v>
      </c>
      <c r="O297" s="1458"/>
    </row>
    <row r="298" spans="4:15" ht="15.75">
      <c r="D298" s="908"/>
      <c r="E298" s="909"/>
      <c r="F298" s="1538"/>
      <c r="G298" s="1539"/>
      <c r="H298" s="1540"/>
      <c r="I298" s="1528" t="s">
        <v>411</v>
      </c>
      <c r="J298" s="1525" t="s">
        <v>817</v>
      </c>
      <c r="K298" s="1527"/>
      <c r="L298" s="1536">
        <v>0</v>
      </c>
      <c r="M298" s="1541"/>
      <c r="O298" s="1458"/>
    </row>
    <row r="299" spans="4:15">
      <c r="F299" s="1555" t="s">
        <v>1058</v>
      </c>
      <c r="G299" s="1556"/>
      <c r="H299" s="1556"/>
      <c r="I299" s="1557"/>
    </row>
    <row r="300" spans="4:15">
      <c r="F300" s="1558" t="s">
        <v>1059</v>
      </c>
      <c r="G300" s="1559" t="s">
        <v>1060</v>
      </c>
      <c r="H300" s="1560" t="s">
        <v>818</v>
      </c>
      <c r="I300" s="1561" t="s">
        <v>1061</v>
      </c>
      <c r="J300" s="1366" t="s">
        <v>1325</v>
      </c>
      <c r="K300" s="1368"/>
    </row>
    <row r="301" spans="4:15">
      <c r="F301" s="1558" t="s">
        <v>1062</v>
      </c>
      <c r="G301" s="1560">
        <v>50</v>
      </c>
      <c r="H301" s="1560">
        <v>1</v>
      </c>
      <c r="I301" s="1562">
        <v>4750</v>
      </c>
      <c r="J301" s="1558" t="s">
        <v>819</v>
      </c>
      <c r="K301" s="1563"/>
    </row>
    <row r="302" spans="4:15">
      <c r="F302" s="1384" t="s">
        <v>1063</v>
      </c>
      <c r="G302" s="1564">
        <v>120</v>
      </c>
      <c r="H302" s="1564">
        <v>1</v>
      </c>
      <c r="I302" s="1565">
        <v>10900</v>
      </c>
      <c r="J302" s="1384"/>
      <c r="K302" s="1566"/>
    </row>
    <row r="303" spans="4:15">
      <c r="F303" s="1384" t="s">
        <v>1064</v>
      </c>
      <c r="G303" s="1564">
        <v>85</v>
      </c>
      <c r="H303" s="1564">
        <v>0.8</v>
      </c>
      <c r="I303" s="1565">
        <v>6130</v>
      </c>
      <c r="J303" s="1384"/>
      <c r="K303" s="1566"/>
    </row>
    <row r="304" spans="4:15">
      <c r="F304" s="1384" t="s">
        <v>1065</v>
      </c>
      <c r="G304" s="1564">
        <v>300</v>
      </c>
      <c r="H304" s="1564">
        <v>1</v>
      </c>
      <c r="I304" s="1565">
        <v>10000</v>
      </c>
      <c r="J304" s="1384"/>
      <c r="K304" s="1566"/>
    </row>
    <row r="305" spans="6:11">
      <c r="F305" s="1567" t="s">
        <v>1066</v>
      </c>
      <c r="G305" s="1568">
        <v>1700</v>
      </c>
      <c r="H305" s="1568">
        <v>0.6</v>
      </c>
      <c r="I305" s="1569">
        <v>7370</v>
      </c>
      <c r="J305" s="1567"/>
      <c r="K305" s="1570"/>
    </row>
    <row r="306" spans="6:11">
      <c r="F306" s="1558" t="s">
        <v>1067</v>
      </c>
      <c r="G306" s="1560">
        <v>13.3</v>
      </c>
      <c r="H306" s="1560">
        <v>5.5E-2</v>
      </c>
      <c r="I306" s="1562">
        <v>1810</v>
      </c>
      <c r="J306" s="1558" t="s">
        <v>820</v>
      </c>
      <c r="K306" s="1563"/>
    </row>
    <row r="307" spans="6:11">
      <c r="F307" s="1384" t="s">
        <v>1068</v>
      </c>
      <c r="G307" s="1564">
        <v>1.4</v>
      </c>
      <c r="H307" s="1564" t="s">
        <v>821</v>
      </c>
      <c r="I307" s="1565">
        <v>77</v>
      </c>
      <c r="J307" s="1384"/>
      <c r="K307" s="1566"/>
    </row>
    <row r="308" spans="6:11">
      <c r="F308" s="1384" t="s">
        <v>1868</v>
      </c>
      <c r="G308" s="1564">
        <v>5.9</v>
      </c>
      <c r="H308" s="1564">
        <v>2.1999999999999999E-2</v>
      </c>
      <c r="I308" s="1565">
        <v>609</v>
      </c>
      <c r="J308" s="1384"/>
      <c r="K308" s="1566"/>
    </row>
    <row r="309" spans="6:11">
      <c r="F309" s="1384" t="s">
        <v>1869</v>
      </c>
      <c r="G309" s="1564">
        <v>9.4</v>
      </c>
      <c r="H309" s="1564">
        <v>0.11</v>
      </c>
      <c r="I309" s="1565">
        <v>725</v>
      </c>
      <c r="J309" s="1384"/>
      <c r="K309" s="1566"/>
    </row>
    <row r="310" spans="6:11">
      <c r="F310" s="1384" t="s">
        <v>1870</v>
      </c>
      <c r="G310" s="1564">
        <v>19.5</v>
      </c>
      <c r="H310" s="1564">
        <v>6.5000000000000002E-2</v>
      </c>
      <c r="I310" s="1565">
        <v>2310</v>
      </c>
      <c r="J310" s="1384"/>
      <c r="K310" s="1566"/>
    </row>
    <row r="311" spans="6:11">
      <c r="F311" s="1384" t="s">
        <v>1871</v>
      </c>
      <c r="G311" s="1564">
        <v>2.5</v>
      </c>
      <c r="H311" s="1564">
        <v>0.25</v>
      </c>
      <c r="I311" s="1565">
        <v>122</v>
      </c>
      <c r="J311" s="1384"/>
      <c r="K311" s="1566"/>
    </row>
    <row r="312" spans="6:11">
      <c r="F312" s="1567" t="s">
        <v>1872</v>
      </c>
      <c r="G312" s="1568">
        <v>2.6</v>
      </c>
      <c r="H312" s="1568">
        <v>3.3000000000000002E-2</v>
      </c>
      <c r="I312" s="1569">
        <v>595</v>
      </c>
      <c r="J312" s="1567"/>
      <c r="K312" s="1570"/>
    </row>
    <row r="313" spans="6:11">
      <c r="F313" s="1558" t="s">
        <v>1873</v>
      </c>
      <c r="G313" s="1560">
        <v>264</v>
      </c>
      <c r="H313" s="1560">
        <v>0</v>
      </c>
      <c r="I313" s="1562">
        <v>14800</v>
      </c>
      <c r="J313" s="1558" t="s">
        <v>1874</v>
      </c>
      <c r="K313" s="1563"/>
    </row>
    <row r="314" spans="6:11">
      <c r="F314" s="1384" t="s">
        <v>1875</v>
      </c>
      <c r="G314" s="1564">
        <v>5.6</v>
      </c>
      <c r="H314" s="1564"/>
      <c r="I314" s="1565">
        <v>675</v>
      </c>
      <c r="J314" s="1384"/>
      <c r="K314" s="1566"/>
    </row>
    <row r="315" spans="6:11">
      <c r="F315" s="1384" t="s">
        <v>1876</v>
      </c>
      <c r="G315" s="1564">
        <v>32.6</v>
      </c>
      <c r="H315" s="1564"/>
      <c r="I315" s="1565">
        <v>3500</v>
      </c>
      <c r="J315" s="1384"/>
      <c r="K315" s="1566"/>
    </row>
    <row r="316" spans="6:11">
      <c r="F316" s="1384" t="s">
        <v>1877</v>
      </c>
      <c r="G316" s="1564">
        <v>14.6</v>
      </c>
      <c r="H316" s="1564"/>
      <c r="I316" s="1565">
        <v>1430</v>
      </c>
      <c r="J316" s="1384"/>
      <c r="K316" s="1566"/>
    </row>
    <row r="317" spans="6:11">
      <c r="F317" s="1384" t="s">
        <v>1878</v>
      </c>
      <c r="G317" s="1564">
        <v>48.3</v>
      </c>
      <c r="H317" s="1564"/>
      <c r="I317" s="1565">
        <v>4470</v>
      </c>
      <c r="J317" s="1384"/>
      <c r="K317" s="1566"/>
    </row>
    <row r="318" spans="6:11">
      <c r="F318" s="1384" t="s">
        <v>1879</v>
      </c>
      <c r="G318" s="1564">
        <v>1.5</v>
      </c>
      <c r="H318" s="1564"/>
      <c r="I318" s="1565">
        <v>124</v>
      </c>
      <c r="J318" s="1384"/>
      <c r="K318" s="1566"/>
    </row>
    <row r="319" spans="6:11">
      <c r="F319" s="1384" t="s">
        <v>1880</v>
      </c>
      <c r="G319" s="1564">
        <v>36.5</v>
      </c>
      <c r="H319" s="1564"/>
      <c r="I319" s="1565">
        <v>3220</v>
      </c>
      <c r="J319" s="1384"/>
      <c r="K319" s="1566"/>
    </row>
    <row r="320" spans="6:11">
      <c r="F320" s="1384" t="s">
        <v>1881</v>
      </c>
      <c r="G320" s="1564">
        <v>209</v>
      </c>
      <c r="H320" s="1564"/>
      <c r="I320" s="1565">
        <v>9810</v>
      </c>
      <c r="J320" s="1384"/>
      <c r="K320" s="1566"/>
    </row>
    <row r="321" spans="6:11">
      <c r="F321" s="1567" t="s">
        <v>1373</v>
      </c>
      <c r="G321" s="1568">
        <v>6.6</v>
      </c>
      <c r="H321" s="1568"/>
      <c r="I321" s="1569">
        <v>560</v>
      </c>
      <c r="J321" s="1567"/>
      <c r="K321" s="1570"/>
    </row>
    <row r="322" spans="6:11">
      <c r="F322" s="1558" t="s">
        <v>1374</v>
      </c>
      <c r="G322" s="1562">
        <v>50000</v>
      </c>
      <c r="H322" s="1560">
        <v>0</v>
      </c>
      <c r="I322" s="1562">
        <v>6500</v>
      </c>
      <c r="J322" s="1558" t="s">
        <v>822</v>
      </c>
      <c r="K322" s="1563"/>
    </row>
    <row r="323" spans="6:11">
      <c r="F323" s="1384" t="s">
        <v>1375</v>
      </c>
      <c r="G323" s="1565">
        <v>10000</v>
      </c>
      <c r="H323" s="1564"/>
      <c r="I323" s="1565">
        <v>9200</v>
      </c>
      <c r="J323" s="1384"/>
      <c r="K323" s="1566"/>
    </row>
    <row r="324" spans="6:11">
      <c r="F324" s="1384" t="s">
        <v>1376</v>
      </c>
      <c r="G324" s="1565">
        <v>2600</v>
      </c>
      <c r="H324" s="1564"/>
      <c r="I324" s="1565">
        <v>7000</v>
      </c>
      <c r="J324" s="1384"/>
      <c r="K324" s="1566"/>
    </row>
    <row r="325" spans="6:11">
      <c r="F325" s="1567" t="s">
        <v>1377</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algorithmName="SHA-512" hashValue="fK36n0BYRQEZuO6lZmNYbUT8PIwHOvfdjdeHB9rooIcXh0PklD0ykvX94zHA2Y1enbrwRzfU31K37CkAa9Glyg==" saltValue="07i7DLMQpFqqBKTuSYZGVQ==" spinCount="100000"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116" priority="76" stopIfTrue="1">
      <formula>P59&gt;0</formula>
    </cfRule>
  </conditionalFormatting>
  <conditionalFormatting sqref="O67 O92">
    <cfRule type="expression" dxfId="115" priority="77" stopIfTrue="1">
      <formula>Q59&gt;0</formula>
    </cfRule>
  </conditionalFormatting>
  <conditionalFormatting sqref="K18 K262">
    <cfRule type="expression" dxfId="114" priority="78" stopIfTrue="1">
      <formula>AND(OR(K18&lt;1,K18&gt;5),K18&lt;&gt;0)</formula>
    </cfRule>
    <cfRule type="expression" dxfId="113" priority="79" stopIfTrue="1">
      <formula>$O17&gt;0</formula>
    </cfRule>
  </conditionalFormatting>
  <conditionalFormatting sqref="K67 K92">
    <cfRule type="expression" dxfId="112" priority="80" stopIfTrue="1">
      <formula>J59&gt;0</formula>
    </cfRule>
  </conditionalFormatting>
  <conditionalFormatting sqref="F8 F18 F51 F60 F85 F143 F262 F271">
    <cfRule type="expression" dxfId="111" priority="83" stopIfTrue="1">
      <formula>AND(OR(F8&lt;1,F8&gt;5),F8&lt;&gt;0)</formula>
    </cfRule>
    <cfRule type="expression" dxfId="110" priority="84" stopIfTrue="1">
      <formula>$J7&gt;0</formula>
    </cfRule>
  </conditionalFormatting>
  <conditionalFormatting sqref="M92:N92 M67:N67">
    <cfRule type="expression" dxfId="109" priority="85" stopIfTrue="1">
      <formula>#REF!&gt;0</formula>
    </cfRule>
  </conditionalFormatting>
  <conditionalFormatting sqref="G37">
    <cfRule type="expression" dxfId="108" priority="86" stopIfTrue="1">
      <formula>$J$28&gt;0</formula>
    </cfRule>
  </conditionalFormatting>
  <conditionalFormatting sqref="K168">
    <cfRule type="expression" dxfId="107" priority="58" stopIfTrue="1">
      <formula>AND(OR(K168&lt;1,K168&gt;5),K168&lt;&gt;0)</formula>
    </cfRule>
    <cfRule type="expression" dxfId="106" priority="59" stopIfTrue="1">
      <formula>$O167&gt;0</formula>
    </cfRule>
  </conditionalFormatting>
  <conditionalFormatting sqref="F168">
    <cfRule type="expression" dxfId="105" priority="60" stopIfTrue="1">
      <formula>AND(OR(F168&lt;1,F168&gt;5),F168&lt;&gt;0)</formula>
    </cfRule>
    <cfRule type="expression" dxfId="104" priority="61" stopIfTrue="1">
      <formula>$J167&gt;0</formula>
    </cfRule>
  </conditionalFormatting>
  <conditionalFormatting sqref="K177">
    <cfRule type="expression" dxfId="103" priority="54" stopIfTrue="1">
      <formula>AND(OR(K177&lt;1,K177&gt;5),K177&lt;&gt;0)</formula>
    </cfRule>
    <cfRule type="expression" dxfId="102" priority="55" stopIfTrue="1">
      <formula>$O176&gt;0</formula>
    </cfRule>
  </conditionalFormatting>
  <conditionalFormatting sqref="F177">
    <cfRule type="expression" dxfId="101" priority="56" stopIfTrue="1">
      <formula>AND(OR(F177&lt;1,F177&gt;5),F177&lt;&gt;0)</formula>
    </cfRule>
    <cfRule type="expression" dxfId="100" priority="57" stopIfTrue="1">
      <formula>$J176&gt;0</formula>
    </cfRule>
  </conditionalFormatting>
  <conditionalFormatting sqref="F195:F203">
    <cfRule type="expression" dxfId="99" priority="129" stopIfTrue="1">
      <formula>AND($J$185&gt;0,$H$192=$T$3)</formula>
    </cfRule>
  </conditionalFormatting>
  <conditionalFormatting sqref="H222">
    <cfRule type="expression" dxfId="98" priority="27" stopIfTrue="1">
      <formula>AND($J$80&gt;0,$G$95=1)</formula>
    </cfRule>
  </conditionalFormatting>
  <conditionalFormatting sqref="G38:G45">
    <cfRule type="expression" dxfId="97" priority="182" stopIfTrue="1">
      <formula>$G$37=$S$3</formula>
    </cfRule>
    <cfRule type="expression" dxfId="96" priority="183" stopIfTrue="1">
      <formula>$J$28&gt;0.001</formula>
    </cfRule>
  </conditionalFormatting>
  <conditionalFormatting sqref="G203:J203">
    <cfRule type="expression" dxfId="95" priority="26">
      <formula>F202=$S$3</formula>
    </cfRule>
  </conditionalFormatting>
  <conditionalFormatting sqref="L200:O200">
    <cfRule type="expression" dxfId="94" priority="25">
      <formula>K199=$S$3</formula>
    </cfRule>
  </conditionalFormatting>
  <conditionalFormatting sqref="F192">
    <cfRule type="expression" dxfId="93" priority="20" stopIfTrue="1">
      <formula>AND(OR(F192&lt;1,F192&gt;5),F192&lt;&gt;0)</formula>
    </cfRule>
    <cfRule type="expression" dxfId="92" priority="21" stopIfTrue="1">
      <formula>AND(J185&gt;0,H192=$T$4)</formula>
    </cfRule>
  </conditionalFormatting>
  <conditionalFormatting sqref="H192">
    <cfRule type="expression" dxfId="91" priority="19">
      <formula>J185&gt;0</formula>
    </cfRule>
  </conditionalFormatting>
  <conditionalFormatting sqref="M192">
    <cfRule type="expression" dxfId="90" priority="18">
      <formula>O185&gt;0</formula>
    </cfRule>
  </conditionalFormatting>
  <conditionalFormatting sqref="K192">
    <cfRule type="expression" dxfId="89" priority="16" stopIfTrue="1">
      <formula>AND(OR(K192&lt;1,K192&gt;5),K192&lt;&gt;0)</formula>
    </cfRule>
    <cfRule type="expression" dxfId="88" priority="17" stopIfTrue="1">
      <formula>AND(O185&gt;0,M192=$T$4)</formula>
    </cfRule>
  </conditionalFormatting>
  <conditionalFormatting sqref="H214">
    <cfRule type="expression" dxfId="87" priority="13">
      <formula>J207&gt;0</formula>
    </cfRule>
  </conditionalFormatting>
  <conditionalFormatting sqref="K195:K200">
    <cfRule type="expression" dxfId="86" priority="12">
      <formula>AND($O$185&gt;0,$M$192=$T$3)</formula>
    </cfRule>
  </conditionalFormatting>
  <conditionalFormatting sqref="G217:G222">
    <cfRule type="expression" dxfId="85" priority="11">
      <formula>AND($J$207&gt;0,$H$214=$T$3)</formula>
    </cfRule>
  </conditionalFormatting>
  <conditionalFormatting sqref="G238:G257">
    <cfRule type="expression" dxfId="84" priority="217" stopIfTrue="1">
      <formula>AND($J$227&gt;0,$H$234=$T$3)</formula>
    </cfRule>
  </conditionalFormatting>
  <conditionalFormatting sqref="F214">
    <cfRule type="expression" dxfId="83" priority="9" stopIfTrue="1">
      <formula>AND(OR(F214&lt;1,F214&gt;5),F214&lt;&gt;0)</formula>
    </cfRule>
    <cfRule type="expression" dxfId="82" priority="10" stopIfTrue="1">
      <formula>AND(J207&gt;0,H214=$T$4)</formula>
    </cfRule>
  </conditionalFormatting>
  <conditionalFormatting sqref="F234">
    <cfRule type="expression" dxfId="81" priority="7" stopIfTrue="1">
      <formula>AND(OR(F234&lt;1,F234&gt;5),F234&lt;&gt;0)</formula>
    </cfRule>
    <cfRule type="expression" dxfId="80" priority="8" stopIfTrue="1">
      <formula>AND(J227&gt;0,H234=$T$4)</formula>
    </cfRule>
  </conditionalFormatting>
  <conditionalFormatting sqref="H234">
    <cfRule type="expression" dxfId="79" priority="6">
      <formula>J227&gt;0</formula>
    </cfRule>
  </conditionalFormatting>
  <conditionalFormatting sqref="G161:G164">
    <cfRule type="expression" dxfId="78" priority="222" stopIfTrue="1">
      <formula>AND($J$151&gt;0.001,$H$158=$T$3)</formula>
    </cfRule>
  </conditionalFormatting>
  <conditionalFormatting sqref="F158">
    <cfRule type="expression" dxfId="77" priority="4" stopIfTrue="1">
      <formula>AND(OR(F158&lt;1,F158&gt;5),F158&lt;&gt;0)</formula>
    </cfRule>
    <cfRule type="expression" dxfId="76" priority="5" stopIfTrue="1">
      <formula>AND(J151&gt;0,H158=$T$4)</formula>
    </cfRule>
  </conditionalFormatting>
  <conditionalFormatting sqref="H158">
    <cfRule type="expression" dxfId="75" priority="3">
      <formula>J151&gt;0</formula>
    </cfRule>
  </conditionalFormatting>
  <conditionalFormatting sqref="H222:O222">
    <cfRule type="expression" dxfId="7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C6" sqref="C6"/>
    </sheetView>
  </sheetViews>
  <sheetFormatPr defaultColWidth="0" defaultRowHeight="13.5" zeroHeight="1"/>
  <cols>
    <col min="1" max="1" width="1.5" customWidth="1"/>
    <col min="2" max="3" width="4.75" hidden="1" customWidth="1"/>
    <col min="4" max="4" width="4.75" style="2014" customWidth="1"/>
    <col min="5" max="5" width="1.875" style="2014" customWidth="1"/>
    <col min="6" max="15" width="10.625" style="201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9"/>
      <c r="E1" s="904"/>
      <c r="F1" s="904"/>
      <c r="G1" s="904"/>
      <c r="H1" s="904"/>
      <c r="I1" s="904"/>
      <c r="J1" s="904"/>
      <c r="K1" s="904"/>
      <c r="M1" s="1571" t="s">
        <v>2697</v>
      </c>
      <c r="N1" s="906" t="str">
        <f>メイン!C11</f>
        <v>○○ビル</v>
      </c>
      <c r="O1" s="907"/>
      <c r="R1" s="2687" t="s">
        <v>1335</v>
      </c>
    </row>
    <row r="2" spans="4:21" ht="10.5" customHeight="1" thickBot="1">
      <c r="D2" s="903"/>
      <c r="E2" s="1061"/>
      <c r="F2" s="1061"/>
      <c r="G2" s="1061"/>
      <c r="H2" s="1061"/>
      <c r="I2" s="1061"/>
      <c r="J2" s="1061"/>
      <c r="K2" s="1061"/>
      <c r="L2" s="1061"/>
      <c r="O2" s="1061"/>
    </row>
    <row r="3" spans="4:21" ht="18.75" thickBot="1">
      <c r="D3" s="1388" t="s">
        <v>1163</v>
      </c>
      <c r="E3" s="1296"/>
      <c r="F3" s="2038"/>
      <c r="G3" s="909"/>
      <c r="H3" s="2038"/>
      <c r="I3" s="911"/>
      <c r="J3" s="912" t="s">
        <v>2576</v>
      </c>
      <c r="K3" s="912"/>
      <c r="L3" s="2039"/>
      <c r="O3" s="1325" t="str">
        <f>IF(メイン!E39=0,"",メイン!E39)</f>
        <v/>
      </c>
      <c r="R3" s="2687" t="s">
        <v>1361</v>
      </c>
      <c r="T3" t="s">
        <v>3340</v>
      </c>
      <c r="U3" t="str">
        <f>メイン!I37</f>
        <v>基本設計段階</v>
      </c>
    </row>
    <row r="4" spans="4:21" ht="8.25" customHeight="1">
      <c r="D4" s="908"/>
      <c r="E4" s="1296"/>
      <c r="F4" s="2038"/>
      <c r="G4" s="909"/>
      <c r="H4" s="2038"/>
      <c r="I4" s="2038"/>
      <c r="J4" s="2038"/>
      <c r="K4" s="2038"/>
      <c r="L4" s="2038"/>
      <c r="M4" s="2038"/>
      <c r="N4" s="2038"/>
      <c r="O4" s="2038"/>
      <c r="S4">
        <v>0</v>
      </c>
      <c r="T4" t="s">
        <v>3343</v>
      </c>
      <c r="U4" t="str">
        <f>メイン!I38</f>
        <v>実施設計段階</v>
      </c>
    </row>
    <row r="5" spans="4:21" ht="21.75" customHeight="1">
      <c r="D5" s="1326">
        <v>1</v>
      </c>
      <c r="E5" s="915" t="s">
        <v>2626</v>
      </c>
      <c r="F5" s="2017"/>
      <c r="G5" s="1140"/>
      <c r="H5" s="1140"/>
      <c r="I5" s="1140"/>
      <c r="J5" s="999" t="e">
        <f>IF(OR(F7=0,J6=0),$R$3,"")</f>
        <v>#VALUE!</v>
      </c>
      <c r="K5" s="1140"/>
      <c r="L5" s="1140"/>
      <c r="M5" s="1140"/>
      <c r="N5" s="1140"/>
      <c r="O5" s="2039"/>
      <c r="S5">
        <v>1</v>
      </c>
      <c r="U5" t="str">
        <f>メイン!I39</f>
        <v>竣工段階</v>
      </c>
    </row>
    <row r="6" spans="4:21" ht="16.5" thickBot="1">
      <c r="D6" s="1572"/>
      <c r="E6" s="1140"/>
      <c r="F6" s="1065"/>
      <c r="G6" s="924"/>
      <c r="H6" s="925" t="s">
        <v>1364</v>
      </c>
      <c r="I6" s="926"/>
      <c r="J6" s="927">
        <f>重み!M173</f>
        <v>0.33333333333333331</v>
      </c>
      <c r="K6" s="1066"/>
      <c r="L6" s="1066"/>
      <c r="M6" s="1066"/>
      <c r="N6" s="1066"/>
      <c r="O6" s="936"/>
      <c r="S6">
        <v>2</v>
      </c>
    </row>
    <row r="7" spans="4:21" ht="27" customHeight="1" thickBot="1">
      <c r="D7" s="2040"/>
      <c r="E7" s="908"/>
      <c r="F7" s="2051" t="e">
        <f>IF(H17=$T3,O15,F17)</f>
        <v>#VALUE!</v>
      </c>
      <c r="G7" s="2259" t="s">
        <v>835</v>
      </c>
      <c r="H7" s="1339"/>
      <c r="I7" s="1339"/>
      <c r="J7" s="1339"/>
      <c r="K7" s="1339"/>
      <c r="L7" s="2260"/>
      <c r="M7" s="1339"/>
      <c r="N7" s="1339"/>
      <c r="O7" s="1166"/>
      <c r="S7" t="s">
        <v>1378</v>
      </c>
    </row>
    <row r="8" spans="4:21" ht="17.25" customHeight="1">
      <c r="D8" s="2040"/>
      <c r="E8" s="908"/>
      <c r="F8" s="1149" t="e">
        <f>IF(F7=$S$15,$T$10,IF(ROUNDDOWN(F7,0)=$S$10,$U$10,$T$10))</f>
        <v>#VALUE!</v>
      </c>
      <c r="G8" s="2256" t="s">
        <v>1379</v>
      </c>
      <c r="H8" s="2257"/>
      <c r="I8" s="2257"/>
      <c r="J8" s="2257"/>
      <c r="K8" s="2257"/>
      <c r="L8" s="2261"/>
      <c r="M8" s="2257"/>
      <c r="N8" s="1534"/>
      <c r="O8" s="1535"/>
      <c r="S8" t="s">
        <v>1295</v>
      </c>
    </row>
    <row r="9" spans="4:21" ht="17.25" customHeight="1">
      <c r="D9" s="2040"/>
      <c r="E9" s="908"/>
      <c r="F9" s="1149" t="e">
        <f>IF(F7=$S$15,$T$11,IF(ROUNDDOWN(F7,0)=$S$11,$U$11,$T$11))</f>
        <v>#VALUE!</v>
      </c>
      <c r="G9" s="2262"/>
      <c r="H9" s="2255"/>
      <c r="I9" s="2255"/>
      <c r="J9" s="2255"/>
      <c r="K9" s="2255"/>
      <c r="L9" s="2263"/>
      <c r="M9" s="2255"/>
      <c r="N9" s="1553" t="s">
        <v>1046</v>
      </c>
      <c r="O9" s="1554"/>
    </row>
    <row r="10" spans="4:21" ht="17.25" customHeight="1">
      <c r="D10" s="2040"/>
      <c r="E10" s="908"/>
      <c r="F10" s="1149" t="e">
        <f>IF(F7=$S$15,$T$12,IF(ROUNDDOWN(F7,0)=$S$12,$U$12,$T$12))</f>
        <v>#VALUE!</v>
      </c>
      <c r="G10" s="2262" t="s">
        <v>1380</v>
      </c>
      <c r="H10" s="2255"/>
      <c r="I10" s="2255"/>
      <c r="J10" s="2255"/>
      <c r="K10" s="2255"/>
      <c r="L10" s="2263"/>
      <c r="M10" s="2255"/>
      <c r="N10" s="1553" t="s">
        <v>1047</v>
      </c>
      <c r="O10" s="1554"/>
      <c r="S10">
        <v>1</v>
      </c>
      <c r="T10" t="s">
        <v>2590</v>
      </c>
      <c r="U10" t="s">
        <v>2591</v>
      </c>
    </row>
    <row r="11" spans="4:21" ht="17.25" customHeight="1">
      <c r="D11" s="2040"/>
      <c r="E11" s="908"/>
      <c r="F11" s="1149" t="e">
        <f>IF(F7=$S$15,$T$13,IF(ROUNDDOWN(F7,0)=$S$13,$U$13,$T$13))</f>
        <v>#VALUE!</v>
      </c>
      <c r="G11" s="2262"/>
      <c r="H11" s="2255"/>
      <c r="I11" s="2255"/>
      <c r="J11" s="2255"/>
      <c r="K11" s="2255"/>
      <c r="L11" s="2263"/>
      <c r="M11" s="2255"/>
      <c r="N11" s="1553" t="s">
        <v>1048</v>
      </c>
      <c r="O11" s="1554"/>
      <c r="S11">
        <v>2</v>
      </c>
      <c r="T11" t="s">
        <v>1336</v>
      </c>
      <c r="U11" t="s">
        <v>1337</v>
      </c>
    </row>
    <row r="12" spans="4:21" ht="17.25" customHeight="1">
      <c r="D12" s="2040"/>
      <c r="E12" s="908"/>
      <c r="F12" s="1150" t="e">
        <f>IF(F7=$S$15,$T$14,IF(ROUNDDOWN(F7,0)=$S$14,$U$14,$T$14))</f>
        <v>#VALUE!</v>
      </c>
      <c r="G12" s="2264" t="s">
        <v>1051</v>
      </c>
      <c r="H12" s="2258"/>
      <c r="I12" s="2258"/>
      <c r="J12" s="2258"/>
      <c r="K12" s="2258"/>
      <c r="L12" s="2265"/>
      <c r="M12" s="2258"/>
      <c r="N12" s="1539"/>
      <c r="O12" s="1540"/>
      <c r="S12">
        <v>3</v>
      </c>
      <c r="T12" t="s">
        <v>1342</v>
      </c>
      <c r="U12" t="s">
        <v>1343</v>
      </c>
    </row>
    <row r="13" spans="4:21" ht="15.75">
      <c r="D13" s="2040"/>
      <c r="E13" s="2040"/>
      <c r="F13" s="2040"/>
      <c r="G13" s="1575" t="s">
        <v>1371</v>
      </c>
      <c r="H13" s="1284"/>
      <c r="I13" s="1284"/>
      <c r="J13" s="1061"/>
      <c r="K13" s="1576" t="s">
        <v>1372</v>
      </c>
      <c r="L13" s="1061"/>
      <c r="M13" s="1577"/>
      <c r="N13" s="2040"/>
      <c r="O13" s="2040"/>
      <c r="S13">
        <v>4</v>
      </c>
      <c r="T13" t="s">
        <v>1221</v>
      </c>
      <c r="U13" t="s">
        <v>1222</v>
      </c>
    </row>
    <row r="14" spans="4:21" ht="16.5" thickBot="1">
      <c r="D14" s="2040"/>
      <c r="E14" s="908"/>
      <c r="F14" s="904"/>
      <c r="G14" s="1578"/>
      <c r="H14" s="1579" t="s">
        <v>726</v>
      </c>
      <c r="I14" s="1580" t="s">
        <v>2171</v>
      </c>
      <c r="J14" s="1581" t="s">
        <v>728</v>
      </c>
      <c r="K14" s="1579" t="s">
        <v>480</v>
      </c>
      <c r="L14" s="1578" t="s">
        <v>1052</v>
      </c>
      <c r="M14" s="904"/>
      <c r="N14" s="904"/>
      <c r="O14" s="1582" t="s">
        <v>1217</v>
      </c>
      <c r="S14">
        <v>5</v>
      </c>
      <c r="T14" t="s">
        <v>1228</v>
      </c>
      <c r="U14" t="s">
        <v>1229</v>
      </c>
    </row>
    <row r="15" spans="4:21" ht="16.5" thickBot="1">
      <c r="D15" s="2040"/>
      <c r="E15" s="908"/>
      <c r="F15" s="904"/>
      <c r="G15" s="1583" t="s">
        <v>2396</v>
      </c>
      <c r="H15" s="1584">
        <f>IF(メイン!I3=3,'条件(個別)'!D9,'条件(標準)'!D9)</f>
        <v>13.998000000000001</v>
      </c>
      <c r="I15" s="1584">
        <f>IF(メイン!I3=3,'条件(個別)'!D34,'条件(標準)'!D34)</f>
        <v>16.21</v>
      </c>
      <c r="J15" s="1584" t="e">
        <f>IF(メイン!I3=3,'条件(個別)'!D46,'条件(標準)'!D46)</f>
        <v>#VALUE!</v>
      </c>
      <c r="K15" s="1585" t="e">
        <f>H15+I15+J15</f>
        <v>#VALUE!</v>
      </c>
      <c r="L15" s="1586">
        <v>1</v>
      </c>
      <c r="M15" s="904"/>
      <c r="N15" s="1582" t="s">
        <v>1053</v>
      </c>
      <c r="O15" s="1587" t="e">
        <f>IF(K15=0,0,ROUNDDOWN(IF(L16=R16,0,IF(L16&lt;0.5,5,IF(L16&gt;1.25,1,IF(L16&gt;1,-8*L16+11,3+(1-L16)*4)))),1))</f>
        <v>#VALUE!</v>
      </c>
      <c r="S15">
        <v>0</v>
      </c>
      <c r="T15" t="s">
        <v>1218</v>
      </c>
      <c r="U15" t="s">
        <v>1218</v>
      </c>
    </row>
    <row r="16" spans="4:21" ht="15" thickBot="1">
      <c r="D16" s="1589"/>
      <c r="E16" s="904"/>
      <c r="F16" s="904"/>
      <c r="G16" s="1583" t="s">
        <v>2395</v>
      </c>
      <c r="H16" s="1584">
        <f>IF(メイン!I3=3,'条件(個別)'!E9,'条件(標準)'!E9)</f>
        <v>13.998000000000001</v>
      </c>
      <c r="I16" s="1584">
        <f>IF(メイン!I3=3,'条件(個別)'!E34,'条件(標準)'!E34)</f>
        <v>16.21</v>
      </c>
      <c r="J16" s="1584" t="e">
        <f>IF(メイン!I3=3,'条件(個別)'!E52,'条件(標準)'!E52)</f>
        <v>#VALUE!</v>
      </c>
      <c r="K16" s="1585" t="e">
        <f>H16+I16+J16</f>
        <v>#VALUE!</v>
      </c>
      <c r="L16" s="1588" t="e">
        <f>IF(K15=R16,R16,K16/K15)</f>
        <v>#VALUE!</v>
      </c>
      <c r="M16" s="904"/>
      <c r="N16" s="904"/>
      <c r="O16" s="904"/>
      <c r="R16" t="s">
        <v>1219</v>
      </c>
    </row>
    <row r="17" spans="2:15" s="2687" customFormat="1" ht="15" thickBot="1">
      <c r="D17" s="1589"/>
      <c r="E17" s="904"/>
      <c r="F17" s="930">
        <v>0</v>
      </c>
      <c r="G17" s="1158" t="s">
        <v>2666</v>
      </c>
      <c r="H17" s="3055" t="s">
        <v>3339</v>
      </c>
      <c r="I17" s="904"/>
      <c r="J17" s="904"/>
      <c r="K17" s="2858"/>
      <c r="L17" s="904"/>
      <c r="M17" s="904"/>
      <c r="N17" s="904"/>
      <c r="O17" s="904"/>
    </row>
    <row r="18" spans="2:15">
      <c r="D18" s="559"/>
      <c r="E18" s="559"/>
      <c r="I18" s="559"/>
      <c r="J18" s="559"/>
      <c r="K18" s="559"/>
      <c r="L18" s="559"/>
      <c r="M18" s="559"/>
      <c r="N18" s="559"/>
      <c r="O18" s="559"/>
    </row>
    <row r="19" spans="2:15" ht="18.75" customHeight="1">
      <c r="D19" s="1589">
        <v>2</v>
      </c>
      <c r="E19" s="915" t="s">
        <v>2629</v>
      </c>
      <c r="F19" s="904"/>
      <c r="G19" s="904"/>
      <c r="H19" s="904"/>
      <c r="I19" s="904"/>
      <c r="J19" s="904"/>
      <c r="K19" s="904"/>
      <c r="L19" s="904"/>
      <c r="M19" s="904"/>
      <c r="N19" s="904"/>
      <c r="O19" s="904"/>
    </row>
    <row r="20" spans="2:15" ht="18.75" customHeight="1">
      <c r="D20" s="1590">
        <v>2.1</v>
      </c>
      <c r="E20" s="1296" t="s">
        <v>1054</v>
      </c>
      <c r="F20" s="2017"/>
      <c r="G20" s="904"/>
      <c r="H20" s="904"/>
      <c r="I20" s="904"/>
      <c r="J20" s="999" t="str">
        <f>IF(OR(F22=0,J21=0),$R$3,"")</f>
        <v/>
      </c>
      <c r="K20" s="904"/>
      <c r="L20" s="904"/>
      <c r="M20" s="904"/>
      <c r="N20" s="904"/>
      <c r="O20" s="904"/>
    </row>
    <row r="21" spans="2:15" ht="18.75" customHeight="1" thickBot="1">
      <c r="F21" s="1065"/>
      <c r="G21" s="924"/>
      <c r="H21" s="925" t="s">
        <v>1364</v>
      </c>
      <c r="I21" s="926"/>
      <c r="J21" s="927">
        <f>重み!M175</f>
        <v>0.25</v>
      </c>
      <c r="K21" s="1066"/>
      <c r="L21" s="1066"/>
      <c r="M21" s="1066"/>
      <c r="N21" s="1066"/>
      <c r="O21" s="936"/>
    </row>
    <row r="22" spans="2:15" ht="27" customHeight="1" thickBot="1">
      <c r="D22" s="908"/>
      <c r="E22" s="908"/>
      <c r="F22" s="930">
        <v>3</v>
      </c>
      <c r="G22" s="934" t="s">
        <v>502</v>
      </c>
      <c r="H22" s="935"/>
      <c r="I22" s="935"/>
      <c r="J22" s="935"/>
      <c r="K22" s="935"/>
      <c r="L22" s="1264"/>
      <c r="M22" s="935"/>
      <c r="N22" s="935"/>
      <c r="O22" s="936"/>
    </row>
    <row r="23" spans="2:15" ht="33" customHeight="1">
      <c r="B23" s="1">
        <v>1</v>
      </c>
      <c r="C23" s="1">
        <v>1</v>
      </c>
      <c r="D23" s="908"/>
      <c r="E23" s="908"/>
      <c r="F23" s="942" t="str">
        <f>IF(F22=$S$15,$T$10,IF(ROUNDDOWN(F22,0)=$S$10,$U$10,$T$10))</f>
        <v>　レベル　1</v>
      </c>
      <c r="G23" s="3381" t="s">
        <v>438</v>
      </c>
      <c r="H23" s="3803"/>
      <c r="I23" s="3803"/>
      <c r="J23" s="3803"/>
      <c r="K23" s="3803"/>
      <c r="L23" s="3803"/>
      <c r="M23" s="3803"/>
      <c r="N23" s="3803"/>
      <c r="O23" s="3804"/>
    </row>
    <row r="24" spans="2:15" ht="21" customHeight="1">
      <c r="B24" s="1" t="s">
        <v>228</v>
      </c>
      <c r="C24" s="1">
        <v>2</v>
      </c>
      <c r="D24" s="908"/>
      <c r="E24" s="908"/>
      <c r="F24" s="942" t="str">
        <f>IF(F22=$S$15,$T$11,IF(ROUNDDOWN(F22,0)=$S$11,$U$11,$T$11))</f>
        <v>　レベル　2</v>
      </c>
      <c r="G24" s="1573" t="s">
        <v>2178</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805" t="s">
        <v>439</v>
      </c>
      <c r="H25" s="3408"/>
      <c r="I25" s="3408"/>
      <c r="J25" s="3408"/>
      <c r="K25" s="3408"/>
      <c r="L25" s="3408"/>
      <c r="M25" s="3408"/>
      <c r="N25" s="3408"/>
      <c r="O25" s="3409"/>
    </row>
    <row r="26" spans="2:15" ht="27" customHeight="1">
      <c r="B26" s="1">
        <v>4</v>
      </c>
      <c r="C26" s="1">
        <v>4</v>
      </c>
      <c r="D26" s="908"/>
      <c r="E26" s="908"/>
      <c r="F26" s="942" t="str">
        <f>IF(F22=$S$15,$T$13,IF(ROUNDDOWN(F22,0)=$S$13,$U$13,$T$13))</f>
        <v>　レベル　4</v>
      </c>
      <c r="G26" s="3805" t="s">
        <v>440</v>
      </c>
      <c r="H26" s="3408"/>
      <c r="I26" s="3408"/>
      <c r="J26" s="3408"/>
      <c r="K26" s="3408"/>
      <c r="L26" s="3408"/>
      <c r="M26" s="3408"/>
      <c r="N26" s="3408"/>
      <c r="O26" s="3409"/>
    </row>
    <row r="27" spans="2:15" ht="22.5" customHeight="1">
      <c r="B27" s="1">
        <v>5</v>
      </c>
      <c r="C27" s="1">
        <v>5</v>
      </c>
      <c r="D27" s="908"/>
      <c r="E27" s="908"/>
      <c r="F27" s="953" t="str">
        <f>IF(F22=$S$15,$T$14,IF(ROUNDDOWN(F22,0)=$S$14,$U$14,$T$14))</f>
        <v>　レベル　5</v>
      </c>
      <c r="G27" s="1574" t="s">
        <v>1202</v>
      </c>
      <c r="H27" s="2229"/>
      <c r="I27" s="2229"/>
      <c r="J27" s="2229"/>
      <c r="K27" s="2229"/>
      <c r="L27" s="2229"/>
      <c r="M27" s="2229"/>
      <c r="N27" s="958"/>
      <c r="O27" s="959"/>
    </row>
    <row r="28" spans="2:15" ht="15.7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1055</v>
      </c>
      <c r="F29" s="1592"/>
      <c r="G29" s="1592"/>
      <c r="H29" s="1592"/>
      <c r="I29" s="1592"/>
      <c r="J29" s="999" t="str">
        <f>IF(OR(F31=0,J30=0),$R$3,"")</f>
        <v/>
      </c>
      <c r="K29" s="1592"/>
      <c r="L29" s="1592"/>
      <c r="M29" s="1592"/>
      <c r="N29" s="1592"/>
      <c r="O29" s="1592"/>
    </row>
    <row r="30" spans="2:15" ht="19.5" customHeight="1" thickBot="1">
      <c r="F30" s="1065"/>
      <c r="G30" s="924"/>
      <c r="H30" s="925" t="s">
        <v>1364</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502</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1204</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2499</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2500</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2501</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2666</v>
      </c>
      <c r="H37" s="2777" t="s">
        <v>3339</v>
      </c>
      <c r="I37"/>
      <c r="J37"/>
      <c r="K37"/>
      <c r="L37"/>
      <c r="M37"/>
      <c r="N37"/>
      <c r="O37"/>
    </row>
    <row r="38" spans="2:18" ht="21" customHeight="1">
      <c r="D38" s="1140"/>
      <c r="E38" s="1140"/>
      <c r="F38" s="1140"/>
      <c r="G38" s="1295" t="s">
        <v>2678</v>
      </c>
      <c r="H38" s="1140"/>
      <c r="I38"/>
      <c r="J38"/>
      <c r="K38"/>
      <c r="L38"/>
      <c r="M38"/>
      <c r="N38"/>
      <c r="O38"/>
    </row>
    <row r="39" spans="2:18" ht="16.5" thickBot="1">
      <c r="D39" s="908"/>
      <c r="E39" s="909"/>
      <c r="F39" s="908"/>
      <c r="G39" s="1297" t="s">
        <v>234</v>
      </c>
      <c r="H39" s="3576" t="s">
        <v>2502</v>
      </c>
      <c r="I39" s="3577"/>
      <c r="J39" s="3578"/>
      <c r="K39" s="3806" t="s">
        <v>1056</v>
      </c>
      <c r="L39" s="3807"/>
      <c r="M39" s="3807"/>
      <c r="N39" s="3808"/>
      <c r="O39" s="1088" t="s">
        <v>2503</v>
      </c>
      <c r="P39" s="132"/>
      <c r="Q39" s="132"/>
      <c r="R39" s="132"/>
    </row>
    <row r="40" spans="2:18" ht="42" customHeight="1">
      <c r="D40" s="908"/>
      <c r="E40" s="909"/>
      <c r="F40" s="908"/>
      <c r="G40" s="3774">
        <v>2</v>
      </c>
      <c r="H40" s="3818" t="s">
        <v>3410</v>
      </c>
      <c r="I40" s="3812" t="s">
        <v>2230</v>
      </c>
      <c r="J40" s="3813"/>
      <c r="K40" s="3809" t="s">
        <v>2504</v>
      </c>
      <c r="L40" s="3810"/>
      <c r="M40" s="3810"/>
      <c r="N40" s="3811"/>
      <c r="O40" s="3668" t="s">
        <v>237</v>
      </c>
      <c r="P40" s="132"/>
      <c r="Q40" s="132"/>
      <c r="R40" s="132"/>
    </row>
    <row r="41" spans="2:18" ht="42" customHeight="1">
      <c r="B41" s="1114" t="s">
        <v>2231</v>
      </c>
      <c r="D41" s="908"/>
      <c r="E41" s="909"/>
      <c r="F41" s="908"/>
      <c r="G41" s="3563"/>
      <c r="H41" s="3819"/>
      <c r="I41" s="3814"/>
      <c r="J41" s="3815"/>
      <c r="K41" s="3820" t="s">
        <v>2232</v>
      </c>
      <c r="L41" s="3638"/>
      <c r="M41" s="3638"/>
      <c r="N41" s="3639"/>
      <c r="O41" s="3729"/>
      <c r="P41" s="132"/>
      <c r="Q41" s="132"/>
      <c r="R41" s="132"/>
    </row>
    <row r="42" spans="2:18" ht="30.75" customHeight="1">
      <c r="D42" s="908"/>
      <c r="E42" s="909"/>
      <c r="F42" s="908"/>
      <c r="G42" s="3562">
        <v>2</v>
      </c>
      <c r="H42" s="3824" t="s">
        <v>3411</v>
      </c>
      <c r="I42" s="3800" t="s">
        <v>846</v>
      </c>
      <c r="J42" s="3802"/>
      <c r="K42" s="3800" t="s">
        <v>847</v>
      </c>
      <c r="L42" s="3801"/>
      <c r="M42" s="3801"/>
      <c r="N42" s="3802"/>
      <c r="O42" s="3727" t="s">
        <v>2505</v>
      </c>
      <c r="P42" s="132"/>
      <c r="Q42" s="132"/>
      <c r="R42" s="132"/>
    </row>
    <row r="43" spans="2:18" ht="36" customHeight="1">
      <c r="D43" s="908"/>
      <c r="E43" s="909"/>
      <c r="F43" s="908"/>
      <c r="G43" s="3821"/>
      <c r="H43" s="3825"/>
      <c r="I43" s="3816"/>
      <c r="J43" s="3817"/>
      <c r="K43" s="3826" t="s">
        <v>1241</v>
      </c>
      <c r="L43" s="3827"/>
      <c r="M43" s="3827"/>
      <c r="N43" s="3815"/>
      <c r="O43" s="3728"/>
      <c r="P43" s="132"/>
      <c r="Q43" s="132"/>
      <c r="R43" s="132"/>
    </row>
    <row r="44" spans="2:18" ht="27" customHeight="1">
      <c r="D44" s="908"/>
      <c r="E44" s="909"/>
      <c r="F44" s="908"/>
      <c r="G44" s="3562">
        <v>2</v>
      </c>
      <c r="H44" s="3825"/>
      <c r="I44" s="3816"/>
      <c r="J44" s="3817"/>
      <c r="K44" s="3800" t="s">
        <v>848</v>
      </c>
      <c r="L44" s="3801"/>
      <c r="M44" s="3801"/>
      <c r="N44" s="3802"/>
      <c r="O44" s="3727" t="s">
        <v>236</v>
      </c>
      <c r="P44" s="132"/>
      <c r="Q44" s="132"/>
      <c r="R44" s="132"/>
    </row>
    <row r="45" spans="2:18" ht="55.5" customHeight="1">
      <c r="D45" s="908"/>
      <c r="E45" s="909"/>
      <c r="F45" s="908"/>
      <c r="G45" s="3563"/>
      <c r="H45" s="3825"/>
      <c r="I45" s="3816"/>
      <c r="J45" s="3817"/>
      <c r="K45" s="3826" t="s">
        <v>1242</v>
      </c>
      <c r="L45" s="3827"/>
      <c r="M45" s="3827"/>
      <c r="N45" s="3815"/>
      <c r="O45" s="3729"/>
      <c r="P45" s="132"/>
      <c r="Q45" s="132"/>
      <c r="R45" s="132"/>
    </row>
    <row r="46" spans="2:18" ht="24.75" customHeight="1">
      <c r="D46" s="908"/>
      <c r="E46" s="909"/>
      <c r="F46" s="908"/>
      <c r="G46" s="3562">
        <v>0</v>
      </c>
      <c r="H46" s="3825"/>
      <c r="I46" s="3816"/>
      <c r="J46" s="3817"/>
      <c r="K46" s="3800" t="s">
        <v>849</v>
      </c>
      <c r="L46" s="3801"/>
      <c r="M46" s="3801"/>
      <c r="N46" s="3802"/>
      <c r="O46" s="3727" t="s">
        <v>236</v>
      </c>
      <c r="P46" s="132"/>
      <c r="Q46" s="132"/>
      <c r="R46" s="132"/>
    </row>
    <row r="47" spans="2:18" ht="48.75" customHeight="1">
      <c r="D47" s="908"/>
      <c r="E47" s="909"/>
      <c r="F47" s="908"/>
      <c r="G47" s="3563"/>
      <c r="H47" s="3825"/>
      <c r="I47" s="3814"/>
      <c r="J47" s="3815"/>
      <c r="K47" s="3826" t="s">
        <v>2517</v>
      </c>
      <c r="L47" s="3827"/>
      <c r="M47" s="3827"/>
      <c r="N47" s="3815"/>
      <c r="O47" s="3669"/>
      <c r="P47" s="132"/>
      <c r="Q47" s="132"/>
      <c r="R47" s="132"/>
    </row>
    <row r="48" spans="2:18" ht="15.75">
      <c r="D48" s="908"/>
      <c r="E48" s="909"/>
      <c r="F48" s="908"/>
      <c r="G48" s="3562">
        <v>0</v>
      </c>
      <c r="H48" s="3825"/>
      <c r="I48" s="3800" t="s">
        <v>850</v>
      </c>
      <c r="J48" s="3802"/>
      <c r="K48" s="3800" t="s">
        <v>851</v>
      </c>
      <c r="L48" s="3801"/>
      <c r="M48" s="3801"/>
      <c r="N48" s="3802"/>
      <c r="O48" s="3727" t="s">
        <v>236</v>
      </c>
      <c r="P48" s="132"/>
      <c r="Q48" s="132"/>
      <c r="R48" s="132"/>
    </row>
    <row r="49" spans="4:18" ht="55.5" customHeight="1">
      <c r="D49" s="908"/>
      <c r="E49" s="909"/>
      <c r="F49" s="908"/>
      <c r="G49" s="3563"/>
      <c r="H49" s="3825"/>
      <c r="I49" s="3814"/>
      <c r="J49" s="3815"/>
      <c r="K49" s="3826" t="s">
        <v>2518</v>
      </c>
      <c r="L49" s="3827"/>
      <c r="M49" s="3827"/>
      <c r="N49" s="3815"/>
      <c r="O49" s="3730"/>
      <c r="P49" s="132"/>
      <c r="Q49" s="132"/>
      <c r="R49" s="132"/>
    </row>
    <row r="50" spans="4:18" ht="15.75">
      <c r="D50" s="908"/>
      <c r="E50" s="909"/>
      <c r="F50" s="908"/>
      <c r="G50" s="3562">
        <v>0</v>
      </c>
      <c r="H50" s="3825"/>
      <c r="I50" s="3800" t="s">
        <v>852</v>
      </c>
      <c r="J50" s="3802"/>
      <c r="K50" s="3800" t="s">
        <v>853</v>
      </c>
      <c r="L50" s="3801"/>
      <c r="M50" s="3801"/>
      <c r="N50" s="3802"/>
      <c r="O50" s="3727" t="s">
        <v>236</v>
      </c>
      <c r="P50" s="132"/>
      <c r="Q50" s="132"/>
      <c r="R50" s="132"/>
    </row>
    <row r="51" spans="4:18" ht="55.5" customHeight="1">
      <c r="D51" s="908"/>
      <c r="E51" s="909"/>
      <c r="F51" s="908"/>
      <c r="G51" s="3563"/>
      <c r="H51" s="3825"/>
      <c r="I51" s="3816"/>
      <c r="J51" s="3817"/>
      <c r="K51" s="3826" t="s">
        <v>2519</v>
      </c>
      <c r="L51" s="3827"/>
      <c r="M51" s="3827"/>
      <c r="N51" s="3815"/>
      <c r="O51" s="3729"/>
      <c r="P51" s="132"/>
      <c r="Q51" s="132"/>
      <c r="R51" s="132"/>
    </row>
    <row r="52" spans="4:18" ht="15.75">
      <c r="D52" s="908"/>
      <c r="E52" s="909"/>
      <c r="F52" s="908"/>
      <c r="G52" s="3562">
        <v>0</v>
      </c>
      <c r="H52" s="3825"/>
      <c r="I52" s="3816"/>
      <c r="J52" s="3817"/>
      <c r="K52" s="3800" t="s">
        <v>854</v>
      </c>
      <c r="L52" s="3801"/>
      <c r="M52" s="3801"/>
      <c r="N52" s="3802"/>
      <c r="O52" s="3727" t="s">
        <v>236</v>
      </c>
      <c r="P52" s="132"/>
      <c r="Q52" s="132"/>
      <c r="R52" s="132"/>
    </row>
    <row r="53" spans="4:18" ht="48.75" customHeight="1">
      <c r="D53" s="908"/>
      <c r="E53" s="909"/>
      <c r="F53" s="908"/>
      <c r="G53" s="3563"/>
      <c r="H53" s="3825"/>
      <c r="I53" s="3814"/>
      <c r="J53" s="3815"/>
      <c r="K53" s="3826" t="s">
        <v>2520</v>
      </c>
      <c r="L53" s="3827"/>
      <c r="M53" s="3827"/>
      <c r="N53" s="3815"/>
      <c r="O53" s="3729"/>
      <c r="P53" s="132"/>
      <c r="Q53" s="132"/>
      <c r="R53" s="132"/>
    </row>
    <row r="54" spans="4:18" ht="30.75" customHeight="1">
      <c r="D54" s="908"/>
      <c r="E54" s="909"/>
      <c r="F54" s="908"/>
      <c r="G54" s="3562">
        <v>0</v>
      </c>
      <c r="H54" s="3825"/>
      <c r="I54" s="3800" t="s">
        <v>855</v>
      </c>
      <c r="J54" s="3802"/>
      <c r="K54" s="3800" t="s">
        <v>856</v>
      </c>
      <c r="L54" s="3801"/>
      <c r="M54" s="3801"/>
      <c r="N54" s="3802"/>
      <c r="O54" s="3727" t="s">
        <v>236</v>
      </c>
      <c r="P54" s="132"/>
      <c r="Q54" s="132"/>
      <c r="R54" s="132"/>
    </row>
    <row r="55" spans="4:18" ht="48" customHeight="1">
      <c r="D55" s="908"/>
      <c r="E55" s="909"/>
      <c r="F55" s="908"/>
      <c r="G55" s="3563"/>
      <c r="H55" s="3825"/>
      <c r="I55" s="3816"/>
      <c r="J55" s="3817"/>
      <c r="K55" s="3826" t="s">
        <v>2521</v>
      </c>
      <c r="L55" s="3827"/>
      <c r="M55" s="3827"/>
      <c r="N55" s="3815"/>
      <c r="O55" s="3730"/>
      <c r="P55" s="132"/>
      <c r="Q55" s="132"/>
      <c r="R55" s="132"/>
    </row>
    <row r="56" spans="4:18" ht="27" customHeight="1">
      <c r="D56" s="908"/>
      <c r="E56" s="909"/>
      <c r="F56" s="908"/>
      <c r="G56" s="3562">
        <v>0</v>
      </c>
      <c r="H56" s="3825"/>
      <c r="I56" s="3816"/>
      <c r="J56" s="3817"/>
      <c r="K56" s="3800" t="s">
        <v>857</v>
      </c>
      <c r="L56" s="3801"/>
      <c r="M56" s="3801"/>
      <c r="N56" s="3802"/>
      <c r="O56" s="3727" t="s">
        <v>236</v>
      </c>
      <c r="P56" s="132"/>
      <c r="Q56" s="132"/>
      <c r="R56" s="132"/>
    </row>
    <row r="57" spans="4:18" ht="48" customHeight="1">
      <c r="D57" s="908"/>
      <c r="E57" s="909"/>
      <c r="F57" s="908"/>
      <c r="G57" s="3563"/>
      <c r="H57" s="3819"/>
      <c r="I57" s="3814"/>
      <c r="J57" s="3815"/>
      <c r="K57" s="3826" t="s">
        <v>1210</v>
      </c>
      <c r="L57" s="3827"/>
      <c r="M57" s="3827"/>
      <c r="N57" s="3815"/>
      <c r="O57" s="3729"/>
      <c r="P57" s="132"/>
      <c r="Q57" s="132"/>
      <c r="R57" s="132"/>
    </row>
    <row r="58" spans="4:18" ht="32.25" customHeight="1">
      <c r="D58" s="908"/>
      <c r="E58" s="909"/>
      <c r="F58" s="908"/>
      <c r="G58" s="3562">
        <v>0</v>
      </c>
      <c r="H58" s="3824" t="s">
        <v>3412</v>
      </c>
      <c r="I58" s="3800" t="s">
        <v>858</v>
      </c>
      <c r="J58" s="3802"/>
      <c r="K58" s="3800" t="s">
        <v>1211</v>
      </c>
      <c r="L58" s="3801"/>
      <c r="M58" s="3801"/>
      <c r="N58" s="3802"/>
      <c r="O58" s="3727" t="s">
        <v>237</v>
      </c>
      <c r="P58" s="132"/>
      <c r="Q58" s="132"/>
      <c r="R58" s="132"/>
    </row>
    <row r="59" spans="4:18" ht="45" customHeight="1" thickBot="1">
      <c r="D59" s="908"/>
      <c r="E59" s="909"/>
      <c r="F59" s="908"/>
      <c r="G59" s="3629"/>
      <c r="H59" s="3828"/>
      <c r="I59" s="3829"/>
      <c r="J59" s="3830"/>
      <c r="K59" s="3820" t="s">
        <v>859</v>
      </c>
      <c r="L59" s="3638"/>
      <c r="M59" s="3638"/>
      <c r="N59" s="3639"/>
      <c r="O59" s="3799"/>
      <c r="P59" s="132"/>
      <c r="Q59" s="132"/>
      <c r="R59" s="132"/>
    </row>
    <row r="60" spans="4:18" ht="15.75">
      <c r="D60" s="908"/>
      <c r="E60" s="909"/>
      <c r="F60" s="908"/>
      <c r="G60" s="2856" t="s">
        <v>1777</v>
      </c>
      <c r="H60" s="1209">
        <f>SUM(G40:G59)</f>
        <v>6</v>
      </c>
      <c r="I60" s="2826" t="s">
        <v>3383</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675</v>
      </c>
      <c r="F62" s="916"/>
      <c r="G62" s="909"/>
      <c r="H62" s="916"/>
      <c r="I62" s="915"/>
      <c r="J62" s="915"/>
      <c r="K62" s="915"/>
      <c r="L62" s="915"/>
      <c r="M62" s="915"/>
      <c r="N62" s="1391"/>
      <c r="O62" s="916"/>
    </row>
    <row r="63" spans="4:18" ht="14.25" customHeight="1">
      <c r="D63" s="1590"/>
      <c r="E63" s="915"/>
      <c r="F63" s="1451" t="s">
        <v>1212</v>
      </c>
      <c r="G63" s="909"/>
      <c r="H63" s="916"/>
      <c r="I63" s="915"/>
      <c r="J63" s="999" t="str">
        <f>IF(OR(F65=0,J64=0),$R$3,"")</f>
        <v/>
      </c>
      <c r="K63" s="915"/>
      <c r="L63" s="915"/>
      <c r="M63" s="915"/>
      <c r="N63" s="1391"/>
      <c r="O63" s="916"/>
    </row>
    <row r="64" spans="4:18" ht="18" customHeight="1" thickBot="1">
      <c r="D64" s="1590"/>
      <c r="E64" s="1391"/>
      <c r="F64" s="1065"/>
      <c r="G64" s="924"/>
      <c r="H64" s="925" t="s">
        <v>1364</v>
      </c>
      <c r="I64" s="926"/>
      <c r="J64" s="927">
        <f>重み!M178</f>
        <v>0.25</v>
      </c>
      <c r="K64" s="1066"/>
      <c r="L64" s="1066"/>
      <c r="M64" s="1066"/>
      <c r="N64" s="1066"/>
      <c r="O64" s="936"/>
    </row>
    <row r="65" spans="2:15" ht="27" customHeight="1" thickBot="1">
      <c r="F65" s="930">
        <v>3</v>
      </c>
      <c r="G65" s="934" t="s">
        <v>3419</v>
      </c>
      <c r="H65" s="935"/>
      <c r="I65" s="935"/>
      <c r="J65" s="935"/>
      <c r="K65" s="1052"/>
      <c r="L65" s="2493" t="s">
        <v>3418</v>
      </c>
      <c r="M65" s="1052"/>
      <c r="N65" s="1052"/>
      <c r="O65" s="1053"/>
    </row>
    <row r="66" spans="2:15" ht="21" customHeight="1">
      <c r="B66" s="1505" t="s">
        <v>1509</v>
      </c>
      <c r="C66" s="1">
        <v>1</v>
      </c>
      <c r="F66" s="942" t="str">
        <f>IF(F65=$S$15,$T$10,IF(ROUNDDOWN(F65,0)=$S$10,$U$10,$T$10))</f>
        <v>　レベル　1</v>
      </c>
      <c r="G66" s="939" t="s">
        <v>2178</v>
      </c>
      <c r="H66" s="1171"/>
      <c r="I66" s="1171"/>
      <c r="J66" s="1171"/>
      <c r="K66" s="2862"/>
      <c r="L66" s="2862"/>
      <c r="M66" s="2862"/>
      <c r="N66" s="2862"/>
      <c r="O66" s="1172"/>
    </row>
    <row r="67" spans="2:15" ht="21" customHeight="1">
      <c r="B67" s="1" t="s">
        <v>1509</v>
      </c>
      <c r="C67" s="1">
        <v>2</v>
      </c>
      <c r="F67" s="942" t="str">
        <f>IF(F65=$S$15,$T$11,IF(ROUNDDOWN(F65,0)=$S$11,$U$11,$T$11))</f>
        <v>　レベル　2</v>
      </c>
      <c r="G67" s="1573" t="s">
        <v>2178</v>
      </c>
      <c r="H67" s="2041"/>
      <c r="I67" s="2041"/>
      <c r="J67" s="2041"/>
      <c r="K67" s="2041"/>
      <c r="L67" s="2041"/>
      <c r="M67" s="2041"/>
      <c r="N67" s="2863"/>
      <c r="O67" s="2865"/>
    </row>
    <row r="68" spans="2:15" ht="21" customHeight="1">
      <c r="B68" s="1">
        <v>3</v>
      </c>
      <c r="C68" s="1">
        <v>3</v>
      </c>
      <c r="F68" s="942" t="str">
        <f>IF(F65=$S$15,$T$12,IF(ROUNDDOWN(F65,0)=$S$12,$U$12,$T$12))</f>
        <v>■レベル　3</v>
      </c>
      <c r="G68" s="1573" t="s">
        <v>3413</v>
      </c>
      <c r="H68" s="2041"/>
      <c r="I68" s="2041"/>
      <c r="J68" s="2041"/>
      <c r="K68" s="2041"/>
      <c r="L68" s="1573" t="s">
        <v>3416</v>
      </c>
      <c r="M68" s="2041"/>
      <c r="N68" s="2863"/>
      <c r="O68" s="2865"/>
    </row>
    <row r="69" spans="2:15" ht="24.75" customHeight="1">
      <c r="B69" s="1">
        <v>4</v>
      </c>
      <c r="C69" s="1">
        <v>4</v>
      </c>
      <c r="F69" s="942" t="str">
        <f>IF(F65=$S$15,$T$13,IF(ROUNDDOWN(F65,0)=$S$13,$U$13,$T$13))</f>
        <v>　レベル　4</v>
      </c>
      <c r="G69" s="3805" t="s">
        <v>3414</v>
      </c>
      <c r="H69" s="3822"/>
      <c r="I69" s="3822"/>
      <c r="J69" s="3822"/>
      <c r="K69" s="3823"/>
      <c r="L69" s="1573" t="s">
        <v>3415</v>
      </c>
      <c r="M69" s="2041"/>
      <c r="N69" s="2863"/>
      <c r="O69" s="2865"/>
    </row>
    <row r="70" spans="2:15" ht="21" customHeight="1">
      <c r="B70" s="1">
        <v>5</v>
      </c>
      <c r="C70" s="1">
        <v>5</v>
      </c>
      <c r="F70" s="953" t="str">
        <f>IF(F65=$S$15,$T$14,IF(ROUNDDOWN(F65,0)=$S$14,$U$14,$T$14))</f>
        <v>　レベル　5</v>
      </c>
      <c r="G70" s="1574" t="s">
        <v>3417</v>
      </c>
      <c r="H70" s="2042"/>
      <c r="I70" s="2042"/>
      <c r="J70" s="2042"/>
      <c r="K70" s="2042"/>
      <c r="L70" s="2042"/>
      <c r="M70" s="2042"/>
      <c r="N70" s="2861"/>
      <c r="O70" s="1178"/>
    </row>
    <row r="71" spans="2:15">
      <c r="B71" s="960">
        <v>0</v>
      </c>
      <c r="C71" s="960">
        <v>0</v>
      </c>
    </row>
    <row r="72" spans="2:15" ht="16.5" customHeight="1">
      <c r="F72" s="1451" t="s">
        <v>1213</v>
      </c>
      <c r="J72" s="999" t="str">
        <f>IF(OR(F74=0,J73=0),$R$3,"")</f>
        <v/>
      </c>
    </row>
    <row r="73" spans="2:15" ht="19.5" customHeight="1" thickBot="1">
      <c r="D73" s="1590"/>
      <c r="E73" s="559"/>
      <c r="F73" s="1065"/>
      <c r="G73" s="924"/>
      <c r="H73" s="925" t="s">
        <v>1364</v>
      </c>
      <c r="I73" s="926"/>
      <c r="J73" s="927">
        <f>重み!M179</f>
        <v>0.25</v>
      </c>
      <c r="K73" s="1066"/>
      <c r="L73" s="1066"/>
      <c r="M73" s="1066"/>
      <c r="N73" s="1066"/>
      <c r="O73" s="936"/>
    </row>
    <row r="74" spans="2:15" ht="27" customHeight="1" thickBot="1">
      <c r="F74" s="930">
        <v>3</v>
      </c>
      <c r="G74" s="934" t="s">
        <v>2222</v>
      </c>
      <c r="H74" s="935"/>
      <c r="I74" s="935"/>
      <c r="J74" s="935"/>
      <c r="K74" s="935"/>
      <c r="L74" s="1264"/>
      <c r="M74" s="935"/>
      <c r="N74" s="935"/>
      <c r="O74" s="936"/>
    </row>
    <row r="75" spans="2:15" ht="21" customHeight="1">
      <c r="B75" s="1505" t="s">
        <v>1509</v>
      </c>
      <c r="C75" s="1">
        <v>1</v>
      </c>
      <c r="F75" s="942" t="str">
        <f>IF(F74=$S$15,$T$10,IF(ROUNDDOWN(F74,0)=$S$10,$U$10,$T$10))</f>
        <v>　レベル　1</v>
      </c>
      <c r="G75" s="939" t="s">
        <v>2178</v>
      </c>
      <c r="H75" s="1171"/>
      <c r="I75" s="1171"/>
      <c r="J75" s="1171"/>
      <c r="K75" s="1171"/>
      <c r="L75" s="1171"/>
      <c r="M75" s="1171"/>
      <c r="N75" s="940"/>
      <c r="O75" s="941"/>
    </row>
    <row r="76" spans="2:15" ht="21" customHeight="1">
      <c r="B76" s="1" t="s">
        <v>1509</v>
      </c>
      <c r="C76" s="1">
        <v>2</v>
      </c>
      <c r="F76" s="942" t="str">
        <f>IF(F74=$S$15,$T$11,IF(ROUNDDOWN(F74,0)=$S$11,$U$11,$T$11))</f>
        <v>　レベル　2</v>
      </c>
      <c r="G76" s="1573" t="s">
        <v>2178</v>
      </c>
      <c r="H76" s="2041"/>
      <c r="I76" s="2041"/>
      <c r="J76" s="2041"/>
      <c r="K76" s="2041"/>
      <c r="L76" s="2041"/>
      <c r="M76" s="2041"/>
      <c r="N76" s="947"/>
      <c r="O76" s="948"/>
    </row>
    <row r="77" spans="2:15" ht="21" customHeight="1">
      <c r="B77" s="1">
        <v>3</v>
      </c>
      <c r="C77" s="1">
        <v>3</v>
      </c>
      <c r="F77" s="942" t="str">
        <f>IF(F74=$S$15,$T$12,IF(ROUNDDOWN(F74,0)=$S$12,$U$12,$T$12))</f>
        <v>■レベル　3</v>
      </c>
      <c r="G77" s="1573" t="s">
        <v>860</v>
      </c>
      <c r="H77" s="2041"/>
      <c r="I77" s="2041"/>
      <c r="J77" s="2041"/>
      <c r="K77" s="2041"/>
      <c r="L77" s="2041"/>
      <c r="M77" s="2041"/>
      <c r="N77" s="947"/>
      <c r="O77" s="948"/>
    </row>
    <row r="78" spans="2:15" ht="21" customHeight="1">
      <c r="B78" s="1">
        <v>4</v>
      </c>
      <c r="C78" s="1">
        <v>4</v>
      </c>
      <c r="F78" s="942" t="str">
        <f>IF(F74=$S$15,$T$13,IF(ROUNDDOWN(F74,0)=$S$13,$U$13,$T$13))</f>
        <v>　レベル　4</v>
      </c>
      <c r="G78" s="1573" t="s">
        <v>1214</v>
      </c>
      <c r="H78" s="2041"/>
      <c r="I78" s="2041"/>
      <c r="J78" s="2041"/>
      <c r="K78" s="2041"/>
      <c r="L78" s="2041"/>
      <c r="M78" s="2041"/>
      <c r="N78" s="947"/>
      <c r="O78" s="948"/>
    </row>
    <row r="79" spans="2:15" ht="21" customHeight="1">
      <c r="B79" s="1" t="s">
        <v>2177</v>
      </c>
      <c r="C79" s="1">
        <v>5</v>
      </c>
      <c r="F79" s="953" t="str">
        <f>IF(F74=$S$15,$T$14,IF(ROUNDDOWN(F74,0)=$S$14,$U$14,$T$14))</f>
        <v>　レベル　5</v>
      </c>
      <c r="G79" s="1574" t="s">
        <v>2178</v>
      </c>
      <c r="H79" s="2042"/>
      <c r="I79" s="2042"/>
      <c r="J79" s="2042"/>
      <c r="K79" s="2042"/>
      <c r="L79" s="2042"/>
      <c r="M79" s="2042"/>
      <c r="N79" s="958"/>
      <c r="O79" s="959"/>
    </row>
    <row r="80" spans="2:15" ht="13.5" customHeight="1">
      <c r="B80" s="960">
        <v>0</v>
      </c>
      <c r="C80" s="960">
        <v>0</v>
      </c>
    </row>
    <row r="81" spans="4:15" ht="13.5" customHeight="1">
      <c r="F81" s="1451" t="s">
        <v>1215</v>
      </c>
      <c r="J81" s="999" t="str">
        <f>IF(OR(F83=0,J82=0),$R$3,"")</f>
        <v/>
      </c>
    </row>
    <row r="82" spans="4:15" ht="14.25" customHeight="1" thickBot="1">
      <c r="D82" s="1590"/>
      <c r="E82" s="559"/>
      <c r="F82" s="1065"/>
      <c r="G82" s="924"/>
      <c r="H82" s="925" t="s">
        <v>1364</v>
      </c>
      <c r="I82" s="926"/>
      <c r="J82" s="927">
        <f>重み!M180</f>
        <v>0.25</v>
      </c>
      <c r="K82" s="1066"/>
      <c r="L82" s="1066"/>
      <c r="M82" s="1066"/>
      <c r="N82" s="1066"/>
      <c r="O82" s="936"/>
    </row>
    <row r="83" spans="4:15" ht="27" customHeight="1" thickBot="1">
      <c r="F83" s="2051">
        <f>IF(H99=0,1,IF(H99=1,2,IF(H99=2,3,IF(H99=3,4,IF(H99&gt;=4,5)))))</f>
        <v>3</v>
      </c>
      <c r="G83" s="934" t="s">
        <v>502</v>
      </c>
      <c r="H83" s="935"/>
      <c r="I83" s="935"/>
      <c r="J83" s="935"/>
      <c r="K83" s="935"/>
      <c r="L83" s="1264"/>
      <c r="M83" s="935"/>
      <c r="N83" s="935"/>
      <c r="O83" s="936"/>
    </row>
    <row r="84" spans="4:15" ht="21" customHeight="1">
      <c r="F84" s="942" t="str">
        <f>IF(F83=$S$15,$T$10,IF(ROUNDDOWN(F83,0)=$S$10,$U$10,$T$10))</f>
        <v>　レベル　1</v>
      </c>
      <c r="G84" s="1170" t="s">
        <v>1216</v>
      </c>
      <c r="H84" s="1171"/>
      <c r="I84" s="1171"/>
      <c r="J84" s="1171"/>
      <c r="K84" s="1171"/>
      <c r="L84" s="1171"/>
      <c r="M84" s="1171"/>
      <c r="N84" s="940"/>
      <c r="O84" s="941"/>
    </row>
    <row r="85" spans="4:15" ht="21" customHeight="1">
      <c r="F85" s="942" t="str">
        <f>IF(F83=$S$15,$T$11,IF(ROUNDDOWN(F83,0)=$S$11,$U$11,$T$11))</f>
        <v>　レベル　2</v>
      </c>
      <c r="G85" s="1573" t="s">
        <v>1652</v>
      </c>
      <c r="H85" s="2041"/>
      <c r="I85" s="2041"/>
      <c r="J85" s="2041"/>
      <c r="K85" s="2041"/>
      <c r="L85" s="2041"/>
      <c r="M85" s="2041"/>
      <c r="N85" s="947"/>
      <c r="O85" s="948"/>
    </row>
    <row r="86" spans="4:15" ht="21" customHeight="1">
      <c r="F86" s="942" t="str">
        <f>IF(F83=$S$15,$T$12,IF(ROUNDDOWN(F83,0)=$S$12,$U$12,$T$12))</f>
        <v>■レベル　3</v>
      </c>
      <c r="G86" s="1573" t="s">
        <v>1653</v>
      </c>
      <c r="H86" s="2041"/>
      <c r="I86" s="2041"/>
      <c r="J86" s="2041"/>
      <c r="K86" s="2041"/>
      <c r="L86" s="2041"/>
      <c r="M86" s="2041"/>
      <c r="N86" s="947"/>
      <c r="O86" s="948"/>
    </row>
    <row r="87" spans="4:15" ht="21" customHeight="1">
      <c r="F87" s="942" t="str">
        <f>IF(F83=$S$15,$T$13,IF(ROUNDDOWN(F83,0)=$S$13,$U$13,$T$13))</f>
        <v>　レベル　4</v>
      </c>
      <c r="G87" s="1573" t="s">
        <v>1654</v>
      </c>
      <c r="H87" s="2041"/>
      <c r="I87" s="2041"/>
      <c r="J87" s="2041"/>
      <c r="K87" s="2041"/>
      <c r="L87" s="2041"/>
      <c r="M87" s="2041"/>
      <c r="N87" s="947"/>
      <c r="O87" s="948"/>
    </row>
    <row r="88" spans="4:15" ht="21" customHeight="1">
      <c r="F88" s="953" t="str">
        <f>IF(F83=$S$15,$T$14,IF(ROUNDDOWN(F83,0)=$S$14,$U$14,$T$14))</f>
        <v>　レベル　5</v>
      </c>
      <c r="G88" s="1574" t="s">
        <v>1655</v>
      </c>
      <c r="H88" s="2042"/>
      <c r="I88" s="2042"/>
      <c r="J88" s="2042"/>
      <c r="K88" s="2042"/>
      <c r="L88" s="2042"/>
      <c r="M88" s="2042"/>
      <c r="N88" s="958"/>
      <c r="O88" s="959"/>
    </row>
    <row r="89" spans="4:15" ht="21" customHeight="1">
      <c r="F89" s="1140"/>
      <c r="G89" s="1295" t="s">
        <v>2678</v>
      </c>
      <c r="H89" s="1140"/>
      <c r="I89" s="2043"/>
      <c r="J89" s="2043"/>
      <c r="K89" s="2016"/>
      <c r="L89" s="2016"/>
      <c r="M89" s="2016"/>
      <c r="N89" s="2016"/>
      <c r="O89" s="904"/>
    </row>
    <row r="90" spans="4:15" ht="16.5" thickBot="1">
      <c r="F90" s="908"/>
      <c r="G90" s="1297" t="s">
        <v>234</v>
      </c>
      <c r="H90" s="3576" t="s">
        <v>1755</v>
      </c>
      <c r="I90" s="3577"/>
      <c r="J90" s="3578"/>
      <c r="K90" s="3576" t="s">
        <v>1748</v>
      </c>
      <c r="L90" s="3577"/>
      <c r="M90" s="3577"/>
      <c r="N90" s="3577"/>
      <c r="O90" s="1088" t="s">
        <v>1756</v>
      </c>
    </row>
    <row r="91" spans="4:15" ht="41.25" customHeight="1">
      <c r="D91" s="1589"/>
      <c r="E91" s="904"/>
      <c r="F91" s="904"/>
      <c r="G91" s="2831">
        <v>1</v>
      </c>
      <c r="H91" s="3751" t="s">
        <v>1656</v>
      </c>
      <c r="I91" s="3751"/>
      <c r="J91" s="3752"/>
      <c r="K91" s="3398" t="s">
        <v>1657</v>
      </c>
      <c r="L91" s="3759"/>
      <c r="M91" s="3759"/>
      <c r="N91" s="3759"/>
      <c r="O91" s="2045">
        <v>1</v>
      </c>
    </row>
    <row r="92" spans="4:15" ht="20.25" customHeight="1">
      <c r="D92" s="1589"/>
      <c r="E92" s="904"/>
      <c r="F92" s="904"/>
      <c r="G92" s="3562" t="s">
        <v>861</v>
      </c>
      <c r="H92" s="3750"/>
      <c r="I92" s="3750"/>
      <c r="J92" s="3753"/>
      <c r="K92" s="3749" t="s">
        <v>1658</v>
      </c>
      <c r="L92" s="3750"/>
      <c r="M92" s="3750"/>
      <c r="N92" s="3750"/>
      <c r="O92" s="3760">
        <v>1</v>
      </c>
    </row>
    <row r="93" spans="4:15" ht="25.5" customHeight="1">
      <c r="D93" s="1589"/>
      <c r="E93" s="904"/>
      <c r="F93" s="904"/>
      <c r="G93" s="3563"/>
      <c r="H93" s="3754"/>
      <c r="I93" s="3754"/>
      <c r="J93" s="3755"/>
      <c r="K93" s="3797"/>
      <c r="L93" s="3798"/>
      <c r="M93" s="3798"/>
      <c r="N93" s="3798"/>
      <c r="O93" s="3760"/>
    </row>
    <row r="94" spans="4:15" ht="30.75" customHeight="1">
      <c r="D94" s="1589"/>
      <c r="E94" s="904"/>
      <c r="F94" s="904"/>
      <c r="G94" s="2829">
        <v>1</v>
      </c>
      <c r="H94" s="3744" t="s">
        <v>1659</v>
      </c>
      <c r="I94" s="3744"/>
      <c r="J94" s="3745"/>
      <c r="K94" s="3749" t="s">
        <v>1660</v>
      </c>
      <c r="L94" s="3750"/>
      <c r="M94" s="3750"/>
      <c r="N94" s="3750"/>
      <c r="O94" s="2046">
        <v>1</v>
      </c>
    </row>
    <row r="95" spans="4:15" ht="22.5" customHeight="1">
      <c r="D95" s="1589"/>
      <c r="E95" s="904"/>
      <c r="F95" s="904"/>
      <c r="G95" s="2829">
        <v>0</v>
      </c>
      <c r="H95" s="3750"/>
      <c r="I95" s="3750"/>
      <c r="J95" s="3753"/>
      <c r="K95" s="3403" t="s">
        <v>1661</v>
      </c>
      <c r="L95" s="3778"/>
      <c r="M95" s="3778"/>
      <c r="N95" s="3778"/>
      <c r="O95" s="2046">
        <v>1</v>
      </c>
    </row>
    <row r="96" spans="4:15" ht="33" customHeight="1">
      <c r="D96" s="1589"/>
      <c r="E96" s="904"/>
      <c r="F96" s="904"/>
      <c r="G96" s="2829">
        <v>0</v>
      </c>
      <c r="H96" s="3750"/>
      <c r="I96" s="3750"/>
      <c r="J96" s="3753"/>
      <c r="K96" s="3403" t="s">
        <v>1662</v>
      </c>
      <c r="L96" s="3778"/>
      <c r="M96" s="3778"/>
      <c r="N96" s="3778"/>
      <c r="O96" s="2046">
        <v>1</v>
      </c>
    </row>
    <row r="97" spans="2:15" ht="21.75" customHeight="1">
      <c r="D97" s="1589"/>
      <c r="E97" s="904"/>
      <c r="F97" s="904"/>
      <c r="G97" s="3562" t="s">
        <v>861</v>
      </c>
      <c r="H97" s="3750"/>
      <c r="I97" s="3750"/>
      <c r="J97" s="3753"/>
      <c r="K97" s="3749" t="s">
        <v>1663</v>
      </c>
      <c r="L97" s="3750"/>
      <c r="M97" s="3750"/>
      <c r="N97" s="3750"/>
      <c r="O97" s="3760">
        <v>1</v>
      </c>
    </row>
    <row r="98" spans="2:15" ht="25.5" customHeight="1" thickBot="1">
      <c r="D98" s="1589"/>
      <c r="E98" s="904"/>
      <c r="F98" s="904"/>
      <c r="G98" s="3629"/>
      <c r="H98" s="3747"/>
      <c r="I98" s="3747"/>
      <c r="J98" s="3748"/>
      <c r="K98" s="3572"/>
      <c r="L98" s="3573"/>
      <c r="M98" s="3573"/>
      <c r="N98" s="3573"/>
      <c r="O98" s="3796"/>
    </row>
    <row r="99" spans="2:15" ht="14.25">
      <c r="D99" s="1589"/>
      <c r="E99" s="904"/>
      <c r="F99" s="904"/>
      <c r="G99" s="2856" t="s">
        <v>1777</v>
      </c>
      <c r="H99" s="1209">
        <f>SUM(G91:G98)</f>
        <v>2</v>
      </c>
      <c r="I99" s="2826" t="s">
        <v>3383</v>
      </c>
      <c r="J99" s="1209"/>
      <c r="K99" s="1193"/>
      <c r="L99" s="1194"/>
      <c r="M99" s="1193"/>
      <c r="N99" s="1194"/>
      <c r="O99" s="1298"/>
    </row>
    <row r="100" spans="2:15" ht="14.25">
      <c r="D100" s="1589"/>
      <c r="E100" s="904"/>
      <c r="F100" s="904"/>
      <c r="G100" s="904"/>
      <c r="H100" s="904"/>
      <c r="I100" s="904"/>
      <c r="J100" s="904"/>
      <c r="K100" s="904"/>
      <c r="L100" s="904"/>
      <c r="M100" s="904"/>
      <c r="N100" s="904"/>
      <c r="O100" s="904"/>
    </row>
    <row r="101" spans="2:15" ht="14.25">
      <c r="D101" s="1589"/>
      <c r="E101" s="904"/>
      <c r="F101" s="1451" t="s">
        <v>862</v>
      </c>
      <c r="G101" s="904"/>
      <c r="H101" s="904"/>
      <c r="I101" s="904"/>
      <c r="J101" s="999" t="str">
        <f>IF(OR(F103=0,J102=0),$R$3,"")</f>
        <v/>
      </c>
      <c r="K101" s="904"/>
      <c r="L101" s="904"/>
      <c r="M101" s="904"/>
      <c r="N101" s="904"/>
      <c r="O101" s="904"/>
    </row>
    <row r="102" spans="2:15" ht="15" thickBot="1">
      <c r="B102" s="1597" t="s">
        <v>863</v>
      </c>
      <c r="D102" s="1590"/>
      <c r="E102" s="1140"/>
      <c r="F102" s="1065"/>
      <c r="G102" s="924"/>
      <c r="H102" s="925" t="s">
        <v>1364</v>
      </c>
      <c r="I102" s="926"/>
      <c r="J102" s="927">
        <f>重み!M181</f>
        <v>0.25</v>
      </c>
      <c r="K102" s="1066"/>
      <c r="L102" s="1066"/>
      <c r="M102" s="1066"/>
      <c r="N102" s="1066"/>
      <c r="O102" s="936"/>
    </row>
    <row r="103" spans="2:15" ht="27" customHeight="1" thickBot="1">
      <c r="F103" s="2051">
        <f>IF(H118&lt;=1,1,IF(H118&lt;=2,2,IF(H118&lt;=3,3,IF(H118&lt;=4,4,IF(H118&gt;=5,5)))))</f>
        <v>3</v>
      </c>
      <c r="G103" s="934" t="s">
        <v>1997</v>
      </c>
      <c r="H103" s="935"/>
      <c r="I103" s="935"/>
      <c r="J103" s="935"/>
      <c r="K103" s="1136" t="s">
        <v>1905</v>
      </c>
      <c r="L103" s="1137"/>
      <c r="M103" s="1137"/>
      <c r="N103" s="1137"/>
      <c r="O103" s="1405"/>
    </row>
    <row r="104" spans="2:15" ht="21" customHeight="1">
      <c r="F104" s="942" t="str">
        <f>IF(F103=$S$15,$T$10,IF(ROUNDDOWN(F103,0)=$S$10,$U$10,$T$10))</f>
        <v>　レベル　1</v>
      </c>
      <c r="G104" s="1170" t="s">
        <v>1664</v>
      </c>
      <c r="H104" s="1247"/>
      <c r="I104" s="1247"/>
      <c r="J104" s="1247"/>
      <c r="K104" s="1406" t="s">
        <v>1665</v>
      </c>
      <c r="L104" s="1598"/>
      <c r="M104" s="1598"/>
      <c r="N104" s="1599"/>
      <c r="O104" s="1600"/>
    </row>
    <row r="105" spans="2:15" ht="21" customHeight="1">
      <c r="F105" s="942" t="str">
        <f>IF(F103=$S$15,$T$11,IF(ROUNDDOWN(F103,0)=$S$11,$U$11,$T$11))</f>
        <v>　レベル　2</v>
      </c>
      <c r="G105" s="1173" t="s">
        <v>1666</v>
      </c>
      <c r="H105" s="1300"/>
      <c r="I105" s="1300"/>
      <c r="J105" s="1300"/>
      <c r="K105" s="1408" t="s">
        <v>1667</v>
      </c>
      <c r="L105" s="1601"/>
      <c r="M105" s="1602"/>
      <c r="N105" s="1603"/>
      <c r="O105" s="1604"/>
    </row>
    <row r="106" spans="2:15" ht="21" customHeight="1">
      <c r="F106" s="942" t="str">
        <f>IF(F103=$S$15,$T$12,IF(ROUNDDOWN(F103,0)=$S$12,$U$12,$T$12))</f>
        <v>■レベル　3</v>
      </c>
      <c r="G106" s="1173" t="s">
        <v>2002</v>
      </c>
      <c r="H106" s="1300"/>
      <c r="I106" s="1300"/>
      <c r="J106" s="1300"/>
      <c r="K106" s="1408" t="s">
        <v>864</v>
      </c>
      <c r="L106" s="1601"/>
      <c r="M106" s="1602"/>
      <c r="N106" s="1603"/>
      <c r="O106" s="1604"/>
    </row>
    <row r="107" spans="2:15" ht="21" customHeight="1">
      <c r="F107" s="942" t="str">
        <f>IF(F103=$S$15,$T$13,IF(ROUNDDOWN(F103,0)=$S$13,$U$13,$T$13))</f>
        <v>　レベル　4</v>
      </c>
      <c r="G107" s="1173" t="s">
        <v>2003</v>
      </c>
      <c r="H107" s="1300"/>
      <c r="I107" s="1300"/>
      <c r="J107" s="1300"/>
      <c r="K107" s="1408" t="s">
        <v>865</v>
      </c>
      <c r="L107" s="1601"/>
      <c r="M107" s="1602"/>
      <c r="N107" s="1603"/>
      <c r="O107" s="1604"/>
    </row>
    <row r="108" spans="2:15" ht="21" customHeight="1">
      <c r="F108" s="953" t="str">
        <f>IF(F103=$S$15,$T$14,IF(ROUNDDOWN(F103,0)=$S$14,$U$14,$T$14))</f>
        <v>　レベル　5</v>
      </c>
      <c r="G108" s="1176" t="s">
        <v>2004</v>
      </c>
      <c r="H108" s="1306"/>
      <c r="I108" s="1306"/>
      <c r="J108" s="1306"/>
      <c r="K108" s="1605" t="s">
        <v>866</v>
      </c>
      <c r="L108" s="1606"/>
      <c r="M108" s="1607"/>
      <c r="N108" s="1608"/>
      <c r="O108" s="1609"/>
    </row>
    <row r="109" spans="2:15">
      <c r="F109" s="1140"/>
      <c r="G109" s="1295" t="s">
        <v>2678</v>
      </c>
      <c r="H109" s="1140"/>
      <c r="I109" s="2043"/>
      <c r="J109" s="2043"/>
      <c r="K109" s="2016"/>
      <c r="L109" s="2016"/>
      <c r="M109" s="2016"/>
      <c r="N109" s="2016"/>
      <c r="O109" s="904"/>
    </row>
    <row r="110" spans="2:15" ht="16.5" thickBot="1">
      <c r="F110" s="908"/>
      <c r="G110" s="1297" t="s">
        <v>234</v>
      </c>
      <c r="H110" s="3576" t="s">
        <v>1755</v>
      </c>
      <c r="I110" s="3577"/>
      <c r="J110" s="3578"/>
      <c r="K110" s="3576" t="s">
        <v>1748</v>
      </c>
      <c r="L110" s="3577"/>
      <c r="M110" s="3577"/>
      <c r="N110" s="3577"/>
      <c r="O110" s="1088" t="s">
        <v>1756</v>
      </c>
    </row>
    <row r="111" spans="2:15" ht="35.25" customHeight="1">
      <c r="D111" s="1589"/>
      <c r="E111" s="904"/>
      <c r="F111" s="904"/>
      <c r="G111" s="2831">
        <v>1</v>
      </c>
      <c r="H111" s="3756" t="s">
        <v>2005</v>
      </c>
      <c r="I111" s="3757"/>
      <c r="J111" s="3758"/>
      <c r="K111" s="3398" t="s">
        <v>867</v>
      </c>
      <c r="L111" s="3759"/>
      <c r="M111" s="3759"/>
      <c r="N111" s="3759"/>
      <c r="O111" s="2045">
        <v>1</v>
      </c>
    </row>
    <row r="112" spans="2:15" ht="35.25" customHeight="1">
      <c r="D112" s="1589"/>
      <c r="E112" s="904"/>
      <c r="F112" s="904"/>
      <c r="G112" s="2828">
        <v>1</v>
      </c>
      <c r="H112" s="3743" t="s">
        <v>2382</v>
      </c>
      <c r="I112" s="3744"/>
      <c r="J112" s="3745"/>
      <c r="K112" s="3403" t="s">
        <v>868</v>
      </c>
      <c r="L112" s="3778"/>
      <c r="M112" s="3778"/>
      <c r="N112" s="3778"/>
      <c r="O112" s="2046">
        <v>1</v>
      </c>
    </row>
    <row r="113" spans="2:15" ht="27" customHeight="1">
      <c r="D113" s="1589"/>
      <c r="E113" s="904"/>
      <c r="F113" s="904"/>
      <c r="G113" s="2829">
        <v>1</v>
      </c>
      <c r="H113" s="3790"/>
      <c r="I113" s="3750"/>
      <c r="J113" s="3753"/>
      <c r="K113" s="3403" t="s">
        <v>869</v>
      </c>
      <c r="L113" s="3778"/>
      <c r="M113" s="3778"/>
      <c r="N113" s="3778"/>
      <c r="O113" s="2046">
        <v>1</v>
      </c>
    </row>
    <row r="114" spans="2:15" ht="24" customHeight="1">
      <c r="D114" s="1589"/>
      <c r="E114" s="904"/>
      <c r="F114" s="904"/>
      <c r="G114" s="2829">
        <v>0</v>
      </c>
      <c r="H114" s="3790"/>
      <c r="I114" s="3750"/>
      <c r="J114" s="3753"/>
      <c r="K114" s="3741" t="s">
        <v>870</v>
      </c>
      <c r="L114" s="3754"/>
      <c r="M114" s="3754"/>
      <c r="N114" s="3754"/>
      <c r="O114" s="2046">
        <v>1</v>
      </c>
    </row>
    <row r="115" spans="2:15" ht="57" hidden="1" customHeight="1">
      <c r="B115" s="1114" t="s">
        <v>871</v>
      </c>
      <c r="D115" s="1589"/>
      <c r="E115" s="904"/>
      <c r="F115" s="904"/>
      <c r="G115" s="2829">
        <v>0</v>
      </c>
      <c r="H115" s="1610"/>
      <c r="I115" s="1596"/>
      <c r="J115" s="1596"/>
      <c r="K115" s="3741" t="s">
        <v>872</v>
      </c>
      <c r="L115" s="3742"/>
      <c r="M115" s="3742"/>
      <c r="N115" s="3742"/>
      <c r="O115" s="2046" t="s">
        <v>2383</v>
      </c>
    </row>
    <row r="116" spans="2:15" ht="45" customHeight="1">
      <c r="D116" s="1589"/>
      <c r="E116" s="904"/>
      <c r="F116" s="904"/>
      <c r="G116" s="2829"/>
      <c r="H116" s="3743" t="s">
        <v>2384</v>
      </c>
      <c r="I116" s="3744"/>
      <c r="J116" s="3745"/>
      <c r="K116" s="3403" t="s">
        <v>873</v>
      </c>
      <c r="L116" s="3778"/>
      <c r="M116" s="3778"/>
      <c r="N116" s="3778"/>
      <c r="O116" s="2046">
        <v>1</v>
      </c>
    </row>
    <row r="117" spans="2:15" ht="24" customHeight="1" thickBot="1">
      <c r="D117" s="1589"/>
      <c r="E117" s="904"/>
      <c r="F117" s="904"/>
      <c r="G117" s="2830">
        <v>0</v>
      </c>
      <c r="H117" s="3746"/>
      <c r="I117" s="3747"/>
      <c r="J117" s="3748"/>
      <c r="K117" s="3749" t="s">
        <v>874</v>
      </c>
      <c r="L117" s="3750"/>
      <c r="M117" s="3750"/>
      <c r="N117" s="3750"/>
      <c r="O117" s="2047">
        <v>1</v>
      </c>
    </row>
    <row r="118" spans="2:15" ht="14.25">
      <c r="D118" s="1589"/>
      <c r="E118" s="904"/>
      <c r="F118" s="904"/>
      <c r="G118" s="2856" t="s">
        <v>1777</v>
      </c>
      <c r="H118" s="1209">
        <f>SUM(G111:G117)</f>
        <v>3</v>
      </c>
      <c r="I118" s="2826" t="s">
        <v>3383</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2632</v>
      </c>
      <c r="F120" s="915"/>
      <c r="G120" s="904"/>
      <c r="H120" s="904"/>
      <c r="I120" s="904"/>
      <c r="J120" s="904"/>
      <c r="K120" s="904"/>
      <c r="L120" s="904"/>
      <c r="M120" s="904"/>
      <c r="N120" s="904"/>
      <c r="O120" s="904"/>
    </row>
    <row r="121" spans="2:15" ht="14.25">
      <c r="D121" s="1590">
        <v>3.1</v>
      </c>
      <c r="E121" s="915" t="s">
        <v>875</v>
      </c>
      <c r="F121" s="915"/>
      <c r="G121" s="914"/>
      <c r="H121" s="915"/>
      <c r="I121" s="915"/>
      <c r="J121" s="915"/>
      <c r="K121" s="915"/>
      <c r="L121" s="915"/>
      <c r="M121" s="915"/>
      <c r="N121" s="915"/>
      <c r="O121" s="2039"/>
    </row>
    <row r="122" spans="2:15" ht="14.25">
      <c r="D122" s="1590"/>
      <c r="E122" s="915"/>
      <c r="F122" s="1611" t="s">
        <v>876</v>
      </c>
      <c r="G122" s="914"/>
      <c r="H122" s="915"/>
      <c r="I122" s="915"/>
      <c r="J122" s="999" t="str">
        <f>IF(OR(F124=0,J123=0),$R$3,"")</f>
        <v/>
      </c>
      <c r="K122" s="915"/>
      <c r="L122" s="915"/>
      <c r="M122" s="915"/>
      <c r="N122" s="915"/>
      <c r="O122" s="2039"/>
    </row>
    <row r="123" spans="2:15" ht="15" thickBot="1">
      <c r="D123" s="1590"/>
      <c r="E123" s="1140"/>
      <c r="F123" s="1065"/>
      <c r="G123" s="924"/>
      <c r="H123" s="925" t="s">
        <v>1364</v>
      </c>
      <c r="I123" s="926"/>
      <c r="J123" s="927">
        <f>重み!M185</f>
        <v>0.33333333333333331</v>
      </c>
      <c r="K123" s="1066"/>
      <c r="L123" s="1066"/>
      <c r="M123" s="1066"/>
      <c r="N123" s="1066"/>
      <c r="O123" s="936"/>
    </row>
    <row r="124" spans="2:15" ht="27" customHeight="1" thickBot="1">
      <c r="D124" s="908"/>
      <c r="E124" s="908"/>
      <c r="F124" s="930">
        <v>3</v>
      </c>
      <c r="G124" s="934" t="s">
        <v>2222</v>
      </c>
      <c r="H124" s="935"/>
      <c r="I124" s="935"/>
      <c r="J124" s="935"/>
      <c r="K124" s="935"/>
      <c r="L124" s="1264"/>
      <c r="M124" s="935"/>
      <c r="N124" s="1046" t="s">
        <v>877</v>
      </c>
      <c r="O124" s="936"/>
    </row>
    <row r="125" spans="2:15" ht="21" customHeight="1">
      <c r="B125" s="1">
        <v>1</v>
      </c>
      <c r="C125" s="1">
        <v>1</v>
      </c>
      <c r="D125" s="908"/>
      <c r="E125" s="908"/>
      <c r="F125" s="942" t="str">
        <f>IF(F124=$S$15,$T$10,IF(ROUNDDOWN(F124,0)=$S$10,$U$10,$T$10))</f>
        <v>　レベル　1</v>
      </c>
      <c r="G125" s="1170" t="s">
        <v>3420</v>
      </c>
      <c r="H125" s="1247"/>
      <c r="I125" s="1247"/>
      <c r="J125" s="1247"/>
      <c r="K125" s="1247"/>
      <c r="L125" s="1414"/>
      <c r="M125" s="1247"/>
      <c r="N125" s="3735" t="s">
        <v>2385</v>
      </c>
      <c r="O125" s="3736"/>
    </row>
    <row r="126" spans="2:15" ht="21" customHeight="1">
      <c r="B126" s="1" t="s">
        <v>1162</v>
      </c>
      <c r="C126" s="1">
        <v>2</v>
      </c>
      <c r="D126" s="908"/>
      <c r="E126" s="908"/>
      <c r="F126" s="942" t="str">
        <f>IF(F124=$S$15,$T$11,IF(ROUNDDOWN(F124,0)=$S$11,$U$11,$T$11))</f>
        <v>　レベル　2</v>
      </c>
      <c r="G126" s="1173" t="s">
        <v>2178</v>
      </c>
      <c r="H126" s="1300"/>
      <c r="I126" s="1300"/>
      <c r="J126" s="1300"/>
      <c r="K126" s="1300"/>
      <c r="L126" s="1415"/>
      <c r="M126" s="1300"/>
      <c r="N126" s="3737"/>
      <c r="O126" s="3738"/>
    </row>
    <row r="127" spans="2:15" ht="21" customHeight="1">
      <c r="B127" s="1">
        <v>3</v>
      </c>
      <c r="C127" s="1">
        <v>3</v>
      </c>
      <c r="D127" s="908"/>
      <c r="E127" s="908"/>
      <c r="F127" s="942" t="str">
        <f>IF(F124=$S$15,$T$12,IF(ROUNDDOWN(F124,0)=$S$12,$U$12,$T$12))</f>
        <v>■レベル　3</v>
      </c>
      <c r="G127" s="1173" t="s">
        <v>3421</v>
      </c>
      <c r="H127" s="1300"/>
      <c r="I127" s="1300"/>
      <c r="J127" s="1300"/>
      <c r="K127" s="1300"/>
      <c r="L127" s="1415"/>
      <c r="M127" s="1300"/>
      <c r="N127" s="3737"/>
      <c r="O127" s="3738"/>
    </row>
    <row r="128" spans="2:15" ht="21" customHeight="1">
      <c r="B128" s="1" t="s">
        <v>1162</v>
      </c>
      <c r="C128" s="1">
        <v>4</v>
      </c>
      <c r="D128" s="908"/>
      <c r="E128" s="908"/>
      <c r="F128" s="942" t="str">
        <f>IF(F124=$S$15,$T$13,IF(ROUNDDOWN(F124,0)=$S$13,$U$13,$T$13))</f>
        <v>　レベル　4</v>
      </c>
      <c r="G128" s="1173" t="s">
        <v>2178</v>
      </c>
      <c r="H128" s="1300"/>
      <c r="I128" s="1300"/>
      <c r="J128" s="1300"/>
      <c r="K128" s="1300"/>
      <c r="L128" s="1415"/>
      <c r="M128" s="1300"/>
      <c r="N128" s="3737"/>
      <c r="O128" s="3738"/>
    </row>
    <row r="129" spans="2:15" ht="21" customHeight="1">
      <c r="B129" s="1">
        <v>5</v>
      </c>
      <c r="C129" s="1">
        <v>5</v>
      </c>
      <c r="D129" s="908"/>
      <c r="E129" s="908"/>
      <c r="F129" s="953" t="str">
        <f>IF(F124=$S$15,$T$14,IF(ROUNDDOWN(F124,0)=$S$14,$U$14,$T$14))</f>
        <v>　レベル　5</v>
      </c>
      <c r="G129" s="1176" t="s">
        <v>3422</v>
      </c>
      <c r="H129" s="1306"/>
      <c r="I129" s="1306"/>
      <c r="J129" s="1306"/>
      <c r="K129" s="1306"/>
      <c r="L129" s="1612"/>
      <c r="M129" s="1306"/>
      <c r="N129" s="3739"/>
      <c r="O129" s="3740"/>
    </row>
    <row r="130" spans="2:15" ht="25.5" customHeight="1">
      <c r="B130" s="960">
        <v>0</v>
      </c>
      <c r="C130" s="960">
        <v>0</v>
      </c>
      <c r="F130" s="3731" t="s">
        <v>1545</v>
      </c>
      <c r="G130" s="3731"/>
      <c r="H130" s="3731"/>
      <c r="I130" s="3731"/>
      <c r="J130" s="3731"/>
      <c r="K130" s="3731"/>
      <c r="L130" s="3731"/>
      <c r="M130" s="3731"/>
      <c r="N130" s="3731"/>
      <c r="O130" s="3731"/>
    </row>
    <row r="131" spans="2:15" ht="15.75">
      <c r="F131" s="1337" t="s">
        <v>878</v>
      </c>
      <c r="G131" s="1337"/>
      <c r="H131" s="908"/>
      <c r="I131" s="908"/>
      <c r="J131" s="908"/>
      <c r="K131" s="915"/>
      <c r="L131" s="915"/>
    </row>
    <row r="132" spans="2:15">
      <c r="F132" s="1448" t="s">
        <v>1546</v>
      </c>
    </row>
    <row r="133" spans="2:15">
      <c r="F133" s="1613"/>
      <c r="G133" s="3732" t="s">
        <v>879</v>
      </c>
      <c r="H133" s="3733"/>
      <c r="I133" s="3734"/>
      <c r="J133" s="3732" t="s">
        <v>880</v>
      </c>
      <c r="K133" s="3733"/>
      <c r="L133" s="3734"/>
    </row>
    <row r="134" spans="2:15" ht="14.25">
      <c r="F134" s="1614"/>
      <c r="G134" s="1615" t="s">
        <v>1547</v>
      </c>
      <c r="H134" s="1616" t="s">
        <v>1548</v>
      </c>
      <c r="I134" s="1617" t="s">
        <v>1549</v>
      </c>
      <c r="J134" s="1615" t="s">
        <v>1547</v>
      </c>
      <c r="K134" s="1616" t="s">
        <v>1548</v>
      </c>
      <c r="L134" s="1617" t="s">
        <v>1549</v>
      </c>
    </row>
    <row r="135" spans="2:15" ht="29.25" customHeight="1">
      <c r="F135" s="942" t="s">
        <v>881</v>
      </c>
      <c r="G135" s="1618" t="s">
        <v>882</v>
      </c>
      <c r="H135" s="1619" t="s">
        <v>882</v>
      </c>
      <c r="I135" s="1620" t="s">
        <v>882</v>
      </c>
      <c r="J135" s="1618" t="s">
        <v>882</v>
      </c>
      <c r="K135" s="1619" t="s">
        <v>882</v>
      </c>
      <c r="L135" s="1620" t="s">
        <v>882</v>
      </c>
    </row>
    <row r="136" spans="2:15">
      <c r="F136" s="942" t="s">
        <v>2834</v>
      </c>
      <c r="G136" s="1621"/>
      <c r="H136" s="1616"/>
      <c r="I136" s="1622"/>
      <c r="J136" s="1621"/>
      <c r="K136" s="1616"/>
      <c r="L136" s="1622"/>
    </row>
    <row r="137" spans="2:15">
      <c r="F137" s="942" t="s">
        <v>2835</v>
      </c>
      <c r="G137" s="1621" t="s">
        <v>883</v>
      </c>
      <c r="H137" s="1616" t="s">
        <v>884</v>
      </c>
      <c r="I137" s="1622" t="s">
        <v>884</v>
      </c>
      <c r="J137" s="1621" t="s">
        <v>1550</v>
      </c>
      <c r="K137" s="1616" t="s">
        <v>883</v>
      </c>
      <c r="L137" s="1622" t="s">
        <v>883</v>
      </c>
    </row>
    <row r="138" spans="2:15">
      <c r="F138" s="942" t="s">
        <v>2836</v>
      </c>
      <c r="G138" s="1621"/>
      <c r="H138" s="1616"/>
      <c r="I138" s="1622"/>
      <c r="J138" s="1621"/>
      <c r="K138" s="1616"/>
      <c r="L138" s="1622"/>
    </row>
    <row r="139" spans="2:15">
      <c r="F139" s="953" t="s">
        <v>2837</v>
      </c>
      <c r="G139" s="1623" t="s">
        <v>1551</v>
      </c>
      <c r="H139" s="1624" t="s">
        <v>1552</v>
      </c>
      <c r="I139" s="1625" t="s">
        <v>1552</v>
      </c>
      <c r="J139" s="1623" t="s">
        <v>884</v>
      </c>
      <c r="K139" s="1624" t="s">
        <v>885</v>
      </c>
      <c r="L139" s="1625" t="s">
        <v>885</v>
      </c>
    </row>
    <row r="140" spans="2:15">
      <c r="F140" s="1613"/>
      <c r="G140" s="3732" t="s">
        <v>886</v>
      </c>
      <c r="H140" s="3733"/>
      <c r="I140" s="3734"/>
      <c r="J140" s="3732" t="s">
        <v>887</v>
      </c>
      <c r="K140" s="3733"/>
      <c r="L140" s="3734"/>
    </row>
    <row r="141" spans="2:15">
      <c r="F141" s="1359"/>
      <c r="G141" s="1615" t="s">
        <v>1553</v>
      </c>
      <c r="H141" s="1616" t="s">
        <v>1554</v>
      </c>
      <c r="I141" s="1617" t="s">
        <v>1555</v>
      </c>
      <c r="J141" s="1615" t="s">
        <v>1553</v>
      </c>
      <c r="K141" s="1616" t="s">
        <v>1554</v>
      </c>
      <c r="L141" s="1617" t="s">
        <v>1555</v>
      </c>
    </row>
    <row r="142" spans="2:15" ht="29.25" customHeight="1">
      <c r="F142" s="942" t="s">
        <v>881</v>
      </c>
      <c r="G142" s="1618" t="s">
        <v>882</v>
      </c>
      <c r="H142" s="1619" t="s">
        <v>882</v>
      </c>
      <c r="I142" s="1620" t="s">
        <v>882</v>
      </c>
      <c r="J142" s="1618" t="s">
        <v>882</v>
      </c>
      <c r="K142" s="1619" t="s">
        <v>882</v>
      </c>
      <c r="L142" s="1620" t="s">
        <v>882</v>
      </c>
    </row>
    <row r="143" spans="2:15">
      <c r="F143" s="942" t="s">
        <v>2834</v>
      </c>
      <c r="G143" s="1621"/>
      <c r="H143" s="1616"/>
      <c r="I143" s="1622"/>
      <c r="J143" s="1621"/>
      <c r="K143" s="1616"/>
      <c r="L143" s="1622"/>
    </row>
    <row r="144" spans="2:15">
      <c r="F144" s="942" t="s">
        <v>2835</v>
      </c>
      <c r="G144" s="1621" t="s">
        <v>888</v>
      </c>
      <c r="H144" s="1616" t="s">
        <v>889</v>
      </c>
      <c r="I144" s="1622" t="s">
        <v>890</v>
      </c>
      <c r="J144" s="1621" t="s">
        <v>891</v>
      </c>
      <c r="K144" s="1616" t="s">
        <v>888</v>
      </c>
      <c r="L144" s="1622" t="s">
        <v>889</v>
      </c>
    </row>
    <row r="145" spans="2:15">
      <c r="F145" s="942" t="s">
        <v>2836</v>
      </c>
      <c r="G145" s="1621"/>
      <c r="H145" s="1616"/>
      <c r="I145" s="1622"/>
      <c r="J145" s="1621"/>
      <c r="K145" s="1616"/>
      <c r="L145" s="1622"/>
    </row>
    <row r="146" spans="2:15">
      <c r="F146" s="953" t="s">
        <v>2837</v>
      </c>
      <c r="G146" s="1623" t="s">
        <v>890</v>
      </c>
      <c r="H146" s="1624" t="s">
        <v>883</v>
      </c>
      <c r="I146" s="1625" t="s">
        <v>884</v>
      </c>
      <c r="J146" s="1623" t="s">
        <v>888</v>
      </c>
      <c r="K146" s="1624" t="s">
        <v>890</v>
      </c>
      <c r="L146" s="1625" t="s">
        <v>883</v>
      </c>
    </row>
    <row r="147" spans="2:15" ht="14.25" customHeight="1">
      <c r="D147" s="908"/>
      <c r="E147" s="908"/>
      <c r="F147" s="908"/>
      <c r="G147" s="908"/>
      <c r="H147" s="908"/>
      <c r="I147" s="908"/>
      <c r="J147" s="908"/>
      <c r="K147" s="908"/>
      <c r="L147" s="908"/>
      <c r="M147" s="908"/>
      <c r="N147" s="908"/>
      <c r="O147" s="2039"/>
    </row>
    <row r="148" spans="2:15" ht="15.75">
      <c r="D148" s="908"/>
      <c r="E148" s="908"/>
      <c r="F148" s="1611" t="s">
        <v>1556</v>
      </c>
      <c r="G148" s="908"/>
      <c r="H148" s="908"/>
      <c r="I148" s="908"/>
      <c r="J148" s="999" t="str">
        <f>IF(OR(F150=0,J149=0),$R$3,"")</f>
        <v/>
      </c>
      <c r="K148" s="908"/>
      <c r="L148" s="908"/>
      <c r="M148" s="908"/>
      <c r="N148" s="908"/>
      <c r="O148" s="2039"/>
    </row>
    <row r="149" spans="2:15" ht="15" thickBot="1">
      <c r="D149" s="1590"/>
      <c r="E149" s="1140"/>
      <c r="F149" s="1065"/>
      <c r="G149" s="924"/>
      <c r="H149" s="925" t="s">
        <v>1364</v>
      </c>
      <c r="I149" s="926"/>
      <c r="J149" s="927">
        <f>重み!M186</f>
        <v>0.33333333333333331</v>
      </c>
      <c r="K149" s="1066"/>
      <c r="L149" s="1066"/>
      <c r="M149" s="1066"/>
      <c r="N149" s="1066"/>
      <c r="O149" s="936"/>
    </row>
    <row r="150" spans="2:15" ht="27" customHeight="1" thickBot="1">
      <c r="D150" s="1590"/>
      <c r="E150" s="915"/>
      <c r="F150" s="930">
        <v>3</v>
      </c>
      <c r="G150" s="934" t="s">
        <v>2222</v>
      </c>
      <c r="H150" s="935"/>
      <c r="I150" s="935"/>
      <c r="J150" s="935"/>
      <c r="K150" s="935"/>
      <c r="L150" s="1264"/>
      <c r="M150" s="935"/>
      <c r="N150" s="1046" t="s">
        <v>877</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764" t="s">
        <v>93</v>
      </c>
      <c r="O151" s="3765"/>
    </row>
    <row r="152" spans="2:15" ht="21" customHeight="1">
      <c r="B152" s="1" t="s">
        <v>516</v>
      </c>
      <c r="C152" s="1">
        <v>2</v>
      </c>
      <c r="D152" s="1590"/>
      <c r="E152" s="915"/>
      <c r="F152" s="942" t="str">
        <f>IF(F150=$S$15,$T$11,IF(ROUNDDOWN(F150,0)=$S$11,$U$11,$T$11))</f>
        <v>　レベル　2</v>
      </c>
      <c r="G152" s="1173" t="s">
        <v>2178</v>
      </c>
      <c r="H152" s="1300"/>
      <c r="I152" s="1300"/>
      <c r="J152" s="1300"/>
      <c r="K152" s="1300"/>
      <c r="L152" s="1415"/>
      <c r="M152" s="1300"/>
      <c r="N152" s="3766"/>
      <c r="O152" s="3591"/>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766"/>
      <c r="O153" s="3591"/>
    </row>
    <row r="154" spans="2:15" ht="21" customHeight="1">
      <c r="B154" s="1" t="s">
        <v>228</v>
      </c>
      <c r="C154" s="1">
        <v>4</v>
      </c>
      <c r="D154" s="1590"/>
      <c r="E154" s="915"/>
      <c r="F154" s="942" t="str">
        <f>IF(F150=$S$15,$T$13,IF(ROUNDDOWN(F150,0)=$S$13,$U$13,$T$13))</f>
        <v>　レベル　4</v>
      </c>
      <c r="G154" s="1173" t="s">
        <v>2178</v>
      </c>
      <c r="H154" s="1300"/>
      <c r="I154" s="1300"/>
      <c r="J154" s="1300"/>
      <c r="K154" s="1300"/>
      <c r="L154" s="1415"/>
      <c r="M154" s="1300"/>
      <c r="N154" s="3766"/>
      <c r="O154" s="3591"/>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767"/>
      <c r="O155" s="3768"/>
    </row>
    <row r="156" spans="2:15" ht="21" customHeight="1">
      <c r="B156" s="960">
        <v>0</v>
      </c>
      <c r="C156" s="960">
        <v>0</v>
      </c>
      <c r="D156" s="1590"/>
      <c r="E156" s="915"/>
      <c r="F156" s="3731" t="s">
        <v>1126</v>
      </c>
      <c r="G156" s="3793"/>
      <c r="H156" s="3793"/>
      <c r="I156" s="3793"/>
      <c r="J156" s="3793"/>
      <c r="K156" s="3793"/>
      <c r="L156" s="3793"/>
      <c r="M156" s="3793"/>
      <c r="N156" s="3793"/>
      <c r="O156" s="904"/>
    </row>
    <row r="157" spans="2:15" ht="15.75">
      <c r="D157" s="1590"/>
      <c r="E157" s="915"/>
      <c r="F157" s="1337" t="s">
        <v>2010</v>
      </c>
      <c r="G157" s="1337"/>
      <c r="H157" s="908"/>
      <c r="I157" s="908"/>
      <c r="J157" s="908"/>
      <c r="K157" s="915"/>
      <c r="L157" s="915"/>
    </row>
    <row r="158" spans="2:15" ht="14.25">
      <c r="D158" s="1590"/>
      <c r="E158" s="915"/>
      <c r="F158" s="1448" t="s">
        <v>1127</v>
      </c>
    </row>
    <row r="159" spans="2:15" ht="14.25">
      <c r="D159" s="1590"/>
      <c r="E159" s="915"/>
      <c r="F159" s="1626"/>
      <c r="G159" s="3732" t="s">
        <v>879</v>
      </c>
      <c r="H159" s="3733"/>
      <c r="I159" s="3734"/>
      <c r="J159" s="3732" t="s">
        <v>880</v>
      </c>
      <c r="K159" s="3733"/>
      <c r="L159" s="3734"/>
    </row>
    <row r="160" spans="2:15" ht="14.25">
      <c r="D160" s="1590"/>
      <c r="E160" s="915"/>
      <c r="F160" s="1614"/>
      <c r="G160" s="1615" t="s">
        <v>1547</v>
      </c>
      <c r="H160" s="1616" t="s">
        <v>1549</v>
      </c>
      <c r="I160" s="1617"/>
      <c r="J160" s="1615" t="s">
        <v>1547</v>
      </c>
      <c r="K160" s="1616" t="s">
        <v>1549</v>
      </c>
      <c r="L160" s="1617"/>
    </row>
    <row r="161" spans="2:15" ht="29.25" customHeight="1">
      <c r="D161" s="1590"/>
      <c r="E161" s="915"/>
      <c r="F161" s="942" t="s">
        <v>881</v>
      </c>
      <c r="G161" s="1618" t="s">
        <v>882</v>
      </c>
      <c r="H161" s="1619" t="s">
        <v>882</v>
      </c>
      <c r="I161" s="1627"/>
      <c r="J161" s="1618" t="s">
        <v>882</v>
      </c>
      <c r="K161" s="1619" t="s">
        <v>882</v>
      </c>
      <c r="L161" s="1627"/>
    </row>
    <row r="162" spans="2:15" ht="14.25">
      <c r="D162" s="1590"/>
      <c r="E162" s="915"/>
      <c r="F162" s="942" t="s">
        <v>2834</v>
      </c>
      <c r="G162" s="1621"/>
      <c r="H162" s="1616"/>
      <c r="I162" s="1622"/>
      <c r="J162" s="1621"/>
      <c r="K162" s="1616"/>
      <c r="L162" s="1622"/>
    </row>
    <row r="163" spans="2:15" ht="14.25">
      <c r="D163" s="1590"/>
      <c r="E163" s="915"/>
      <c r="F163" s="942" t="s">
        <v>2835</v>
      </c>
      <c r="G163" s="1621" t="s">
        <v>888</v>
      </c>
      <c r="H163" s="1616" t="s">
        <v>889</v>
      </c>
      <c r="I163" s="1622"/>
      <c r="J163" s="1621" t="s">
        <v>2011</v>
      </c>
      <c r="K163" s="1616" t="s">
        <v>888</v>
      </c>
      <c r="L163" s="1622"/>
    </row>
    <row r="164" spans="2:15" ht="14.25">
      <c r="D164" s="1590"/>
      <c r="E164" s="915"/>
      <c r="F164" s="942" t="s">
        <v>2836</v>
      </c>
      <c r="G164" s="1621"/>
      <c r="H164" s="1616"/>
      <c r="I164" s="1622"/>
      <c r="J164" s="1621"/>
      <c r="K164" s="1616"/>
      <c r="L164" s="1622"/>
    </row>
    <row r="165" spans="2:15" ht="14.25">
      <c r="D165" s="1590"/>
      <c r="E165" s="915"/>
      <c r="F165" s="953" t="s">
        <v>2837</v>
      </c>
      <c r="G165" s="1623" t="s">
        <v>889</v>
      </c>
      <c r="H165" s="1624" t="s">
        <v>890</v>
      </c>
      <c r="I165" s="1625"/>
      <c r="J165" s="1623" t="s">
        <v>888</v>
      </c>
      <c r="K165" s="1624" t="s">
        <v>889</v>
      </c>
      <c r="L165" s="1625"/>
    </row>
    <row r="166" spans="2:15" ht="14.25">
      <c r="D166" s="1590"/>
      <c r="E166" s="915"/>
      <c r="F166" s="2017"/>
      <c r="G166" s="2017"/>
      <c r="H166" s="1459"/>
      <c r="I166" s="1459"/>
      <c r="J166" s="1459"/>
      <c r="K166" s="1459"/>
      <c r="L166" s="1459"/>
    </row>
    <row r="167" spans="2:15" ht="14.25">
      <c r="D167" s="1590"/>
      <c r="E167" s="915"/>
      <c r="F167" s="1611" t="s">
        <v>1128</v>
      </c>
      <c r="G167" s="2017"/>
      <c r="H167" s="1459"/>
      <c r="I167" s="1459"/>
      <c r="J167" s="999" t="str">
        <f>IF(OR(F169=0,J168=0),$R$3,"")</f>
        <v/>
      </c>
      <c r="K167" s="1459"/>
      <c r="L167" s="1459"/>
      <c r="M167" s="1459"/>
      <c r="N167" s="1459"/>
      <c r="O167" s="2039"/>
    </row>
    <row r="168" spans="2:15" ht="15" thickBot="1">
      <c r="D168" s="1590"/>
      <c r="E168" s="1140"/>
      <c r="F168" s="1065"/>
      <c r="G168" s="924"/>
      <c r="H168" s="925" t="s">
        <v>1364</v>
      </c>
      <c r="I168" s="926"/>
      <c r="J168" s="927">
        <f>重み!M187</f>
        <v>0.33333333333333331</v>
      </c>
      <c r="K168" s="1066"/>
      <c r="L168" s="1066"/>
      <c r="M168" s="1066"/>
      <c r="N168" s="1066"/>
      <c r="O168" s="936"/>
    </row>
    <row r="169" spans="2:15" ht="27" customHeight="1" thickBot="1">
      <c r="D169" s="908"/>
      <c r="E169" s="908"/>
      <c r="F169" s="930">
        <v>3</v>
      </c>
      <c r="G169" s="934" t="s">
        <v>2222</v>
      </c>
      <c r="H169" s="935"/>
      <c r="I169" s="935"/>
      <c r="J169" s="935"/>
      <c r="K169" s="935"/>
      <c r="L169" s="1264"/>
      <c r="M169" s="935"/>
      <c r="N169" s="1046" t="s">
        <v>877</v>
      </c>
      <c r="O169" s="936"/>
    </row>
    <row r="170" spans="2:15" ht="29.25" customHeight="1">
      <c r="B170" s="1">
        <v>1</v>
      </c>
      <c r="C170" s="1">
        <v>1</v>
      </c>
      <c r="D170" s="908"/>
      <c r="E170" s="908"/>
      <c r="F170" s="942" t="str">
        <f>IF(F169=$S$15,$T$10,IF(ROUNDDOWN(F169,0)=$S$10,$U$10,$T$10))</f>
        <v>　レベル　1</v>
      </c>
      <c r="G170" s="3381" t="s">
        <v>3424</v>
      </c>
      <c r="H170" s="3794"/>
      <c r="I170" s="3794"/>
      <c r="J170" s="3794"/>
      <c r="K170" s="3794"/>
      <c r="L170" s="3794"/>
      <c r="M170" s="3795"/>
      <c r="N170" s="3735" t="s">
        <v>1688</v>
      </c>
      <c r="O170" s="3736"/>
    </row>
    <row r="171" spans="2:15" ht="21" customHeight="1">
      <c r="B171" s="1" t="s">
        <v>516</v>
      </c>
      <c r="C171" s="1">
        <v>2</v>
      </c>
      <c r="D171" s="908"/>
      <c r="E171" s="908"/>
      <c r="F171" s="942" t="str">
        <f>IF(F169=$S$15,$T$11,IF(ROUNDDOWN(F169,0)=$S$11,$U$11,$T$11))</f>
        <v>　レベル　2</v>
      </c>
      <c r="G171" s="1173" t="s">
        <v>2178</v>
      </c>
      <c r="H171" s="1300"/>
      <c r="I171" s="1300"/>
      <c r="J171" s="1300"/>
      <c r="K171" s="1300"/>
      <c r="L171" s="1415"/>
      <c r="M171" s="1300"/>
      <c r="N171" s="3737"/>
      <c r="O171" s="3738"/>
    </row>
    <row r="172" spans="2:15" ht="30" customHeight="1">
      <c r="B172" s="1">
        <v>3</v>
      </c>
      <c r="C172" s="1">
        <v>3</v>
      </c>
      <c r="D172" s="908"/>
      <c r="E172" s="908"/>
      <c r="F172" s="942" t="str">
        <f>IF(F169=$S$15,$T$12,IF(ROUNDDOWN(F169,0)=$S$12,$U$12,$T$12))</f>
        <v>■レベル　3</v>
      </c>
      <c r="G172" s="3385" t="s">
        <v>3423</v>
      </c>
      <c r="H172" s="3551"/>
      <c r="I172" s="3551"/>
      <c r="J172" s="3551"/>
      <c r="K172" s="3551"/>
      <c r="L172" s="3551"/>
      <c r="M172" s="3552"/>
      <c r="N172" s="3737"/>
      <c r="O172" s="3738"/>
    </row>
    <row r="173" spans="2:15" ht="21" customHeight="1">
      <c r="B173" s="1" t="s">
        <v>516</v>
      </c>
      <c r="C173" s="1">
        <v>4</v>
      </c>
      <c r="D173" s="908"/>
      <c r="E173" s="908"/>
      <c r="F173" s="942" t="str">
        <f>IF(F169=$S$15,$T$13,IF(ROUNDDOWN(F169,0)=$S$13,$U$13,$T$13))</f>
        <v>　レベル　4</v>
      </c>
      <c r="G173" s="1173" t="s">
        <v>2178</v>
      </c>
      <c r="H173" s="1300"/>
      <c r="I173" s="1300"/>
      <c r="J173" s="1300"/>
      <c r="K173" s="1300"/>
      <c r="L173" s="1415"/>
      <c r="M173" s="1300"/>
      <c r="N173" s="3737"/>
      <c r="O173" s="3738"/>
    </row>
    <row r="174" spans="2:15" ht="21" customHeight="1">
      <c r="B174" s="1" t="s">
        <v>516</v>
      </c>
      <c r="C174" s="1">
        <v>5</v>
      </c>
      <c r="D174" s="908"/>
      <c r="E174" s="2048"/>
      <c r="F174" s="953" t="str">
        <f>IF(F169=$S$15,$T$14,IF(ROUNDDOWN(F169,0)=$S$14,$U$14,$T$14))</f>
        <v>　レベル　5</v>
      </c>
      <c r="G174" s="1176" t="s">
        <v>2178</v>
      </c>
      <c r="H174" s="1306"/>
      <c r="I174" s="1306"/>
      <c r="J174" s="1306"/>
      <c r="K174" s="1306"/>
      <c r="L174" s="1612"/>
      <c r="M174" s="1306"/>
      <c r="N174" s="3739"/>
      <c r="O174" s="3740"/>
    </row>
    <row r="175" spans="2:15" ht="15.7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1129</v>
      </c>
      <c r="F176" s="1629"/>
      <c r="G176" s="1629"/>
      <c r="H176" s="1629"/>
      <c r="I176" s="1629"/>
      <c r="J176" s="1629"/>
      <c r="K176" s="1629"/>
      <c r="L176" s="1629"/>
      <c r="M176" s="1629"/>
      <c r="N176" s="1629"/>
      <c r="O176" s="2039"/>
    </row>
    <row r="177" spans="2:15" ht="13.5" customHeight="1">
      <c r="D177" s="1590"/>
      <c r="E177" s="1042"/>
      <c r="F177" s="1451" t="s">
        <v>1130</v>
      </c>
      <c r="G177" s="1629"/>
      <c r="H177" s="1629"/>
      <c r="I177" s="1629"/>
      <c r="J177" s="999" t="str">
        <f>IF(OR(F179=0,J178=0),$R$3,"")</f>
        <v/>
      </c>
      <c r="K177" s="1629"/>
      <c r="L177" s="1629"/>
      <c r="M177" s="1629"/>
      <c r="N177" s="1629"/>
      <c r="O177" s="2039"/>
    </row>
    <row r="178" spans="2:15" ht="15" thickBot="1">
      <c r="D178" s="1590"/>
      <c r="E178" s="1140"/>
      <c r="F178" s="1065"/>
      <c r="G178" s="924"/>
      <c r="H178" s="925" t="s">
        <v>1364</v>
      </c>
      <c r="I178" s="926"/>
      <c r="J178" s="927">
        <f>重み!M189</f>
        <v>0.7</v>
      </c>
      <c r="K178" s="1066"/>
      <c r="L178" s="1066"/>
      <c r="M178" s="1066"/>
      <c r="N178" s="1066"/>
      <c r="O178" s="936"/>
    </row>
    <row r="179" spans="2:15" ht="27" customHeight="1" thickBot="1">
      <c r="D179" s="1590"/>
      <c r="E179" s="908"/>
      <c r="F179" s="930">
        <v>3</v>
      </c>
      <c r="G179" s="934" t="s">
        <v>2222</v>
      </c>
      <c r="H179" s="935"/>
      <c r="I179" s="935"/>
      <c r="J179" s="935"/>
      <c r="K179" s="935"/>
      <c r="L179" s="1264"/>
      <c r="M179" s="935"/>
      <c r="N179" s="1046" t="s">
        <v>1325</v>
      </c>
      <c r="O179" s="936"/>
    </row>
    <row r="180" spans="2:15" ht="21" customHeight="1">
      <c r="B180" s="1505">
        <v>1</v>
      </c>
      <c r="C180" s="1">
        <v>1</v>
      </c>
      <c r="D180" s="908"/>
      <c r="E180" s="908"/>
      <c r="F180" s="942" t="str">
        <f>IF(F179=$S$15,$T$10,IF(ROUNDDOWN(F179,0)=$S$10,$U$10,$T$10))</f>
        <v>　レベル　1</v>
      </c>
      <c r="G180" s="939" t="s">
        <v>892</v>
      </c>
      <c r="H180" s="1247"/>
      <c r="I180" s="1247"/>
      <c r="J180" s="1247"/>
      <c r="K180" s="1247"/>
      <c r="L180" s="1414"/>
      <c r="M180" s="1247"/>
      <c r="N180" s="3457" t="s">
        <v>350</v>
      </c>
      <c r="O180" s="3458"/>
    </row>
    <row r="181" spans="2:15" ht="28.5" customHeight="1">
      <c r="B181" s="1">
        <v>2</v>
      </c>
      <c r="C181" s="1">
        <v>2</v>
      </c>
      <c r="D181" s="908"/>
      <c r="E181" s="908"/>
      <c r="F181" s="942" t="str">
        <f>IF(F179=$S$15,$T$11,IF(ROUNDDOWN(F179,0)=$S$11,$U$11,$T$11))</f>
        <v>　レベル　2</v>
      </c>
      <c r="G181" s="3385" t="s">
        <v>893</v>
      </c>
      <c r="H181" s="3657"/>
      <c r="I181" s="3657"/>
      <c r="J181" s="3657"/>
      <c r="K181" s="3657"/>
      <c r="L181" s="3657"/>
      <c r="M181" s="3658"/>
      <c r="N181" s="3489"/>
      <c r="O181" s="3615"/>
    </row>
    <row r="182" spans="2:15" ht="39.75" customHeight="1">
      <c r="B182" s="1">
        <v>3</v>
      </c>
      <c r="C182" s="1">
        <v>3</v>
      </c>
      <c r="D182" s="908"/>
      <c r="E182" s="908"/>
      <c r="F182" s="942" t="str">
        <f>IF(F179=$S$15,$T$12,IF(ROUNDDOWN(F179,0)=$S$12,$U$12,$T$12))</f>
        <v>■レベル　3</v>
      </c>
      <c r="G182" s="3385" t="s">
        <v>2452</v>
      </c>
      <c r="H182" s="3657"/>
      <c r="I182" s="3657"/>
      <c r="J182" s="3657"/>
      <c r="K182" s="3657"/>
      <c r="L182" s="3657"/>
      <c r="M182" s="3658"/>
      <c r="N182" s="3489"/>
      <c r="O182" s="3615"/>
    </row>
    <row r="183" spans="2:15" ht="28.5" customHeight="1">
      <c r="B183" s="1">
        <v>4</v>
      </c>
      <c r="C183" s="1">
        <v>4</v>
      </c>
      <c r="D183" s="908"/>
      <c r="E183" s="908"/>
      <c r="F183" s="942" t="str">
        <f>IF(F179=$S$15,$T$13,IF(ROUNDDOWN(F179,0)=$S$13,$U$13,$T$13))</f>
        <v>　レベル　4</v>
      </c>
      <c r="G183" s="3385" t="s">
        <v>2453</v>
      </c>
      <c r="H183" s="3657"/>
      <c r="I183" s="3657"/>
      <c r="J183" s="3657"/>
      <c r="K183" s="3657"/>
      <c r="L183" s="3657"/>
      <c r="M183" s="3658"/>
      <c r="N183" s="3489"/>
      <c r="O183" s="3615"/>
    </row>
    <row r="184" spans="2:15" ht="28.5" customHeight="1">
      <c r="B184" s="1">
        <v>5</v>
      </c>
      <c r="C184" s="1">
        <v>5</v>
      </c>
      <c r="D184" s="908"/>
      <c r="E184" s="908"/>
      <c r="F184" s="953" t="str">
        <f>IF(F179=$S$15,$T$14,IF(ROUNDDOWN(F179,0)=$S$14,$U$14,$T$14))</f>
        <v>　レベル　5</v>
      </c>
      <c r="G184" s="3383" t="s">
        <v>2454</v>
      </c>
      <c r="H184" s="3659"/>
      <c r="I184" s="3659"/>
      <c r="J184" s="3659"/>
      <c r="K184" s="3659"/>
      <c r="L184" s="3659"/>
      <c r="M184" s="3660"/>
      <c r="N184" s="3459"/>
      <c r="O184" s="3460"/>
    </row>
    <row r="185" spans="2:15" ht="15.75">
      <c r="B185" s="960">
        <v>0</v>
      </c>
      <c r="C185" s="960">
        <v>0</v>
      </c>
      <c r="D185" s="908"/>
      <c r="E185" s="908"/>
      <c r="F185" s="908"/>
      <c r="G185" s="908"/>
      <c r="H185" s="908"/>
      <c r="I185" s="908"/>
      <c r="J185" s="908"/>
      <c r="K185" s="2049"/>
      <c r="L185" s="2049"/>
      <c r="M185" s="2049"/>
      <c r="N185" s="2049"/>
      <c r="O185" s="2039"/>
    </row>
    <row r="186" spans="2:15" ht="15.75">
      <c r="D186" s="908"/>
      <c r="E186" s="908"/>
      <c r="F186" s="1451" t="s">
        <v>2455</v>
      </c>
      <c r="G186" s="908"/>
      <c r="H186" s="908"/>
      <c r="I186" s="908"/>
      <c r="J186" s="999" t="str">
        <f>IF(OR(F188=0,J187=0),$R$3,"")</f>
        <v>&lt;評価しない&gt;</v>
      </c>
      <c r="K186" s="2049"/>
      <c r="L186" s="2049"/>
      <c r="M186" s="2049"/>
      <c r="N186" s="2049"/>
      <c r="O186" s="2039"/>
    </row>
    <row r="187" spans="2:15" ht="15" thickBot="1">
      <c r="D187" s="1590"/>
      <c r="E187" s="1140"/>
      <c r="F187" s="1065"/>
      <c r="G187" s="924"/>
      <c r="H187" s="925" t="s">
        <v>1364</v>
      </c>
      <c r="I187" s="926"/>
      <c r="J187" s="927">
        <f>重み!M190</f>
        <v>0</v>
      </c>
      <c r="K187" s="1066"/>
      <c r="L187" s="1066"/>
      <c r="M187" s="1066"/>
      <c r="N187" s="1066"/>
      <c r="O187" s="936"/>
    </row>
    <row r="188" spans="2:15" ht="27" customHeight="1" thickBot="1">
      <c r="D188" s="908"/>
      <c r="E188" s="908"/>
      <c r="F188" s="930">
        <f>IF(H201&gt;=4,5,IF(H201=3,4,IF(H201=2,3,IF(H201=1,2,1))))</f>
        <v>3</v>
      </c>
      <c r="G188" s="934" t="s">
        <v>2456</v>
      </c>
      <c r="H188" s="935"/>
      <c r="I188" s="935"/>
      <c r="J188" s="935"/>
      <c r="K188" s="935"/>
      <c r="L188" s="1264"/>
      <c r="M188" s="935"/>
      <c r="N188" s="935"/>
      <c r="O188" s="936"/>
    </row>
    <row r="189" spans="2:15" ht="21" customHeight="1">
      <c r="B189" s="1" t="s">
        <v>517</v>
      </c>
      <c r="C189" s="1">
        <v>1</v>
      </c>
      <c r="D189" s="908"/>
      <c r="E189" s="908"/>
      <c r="F189" s="942" t="str">
        <f>IF(F188=$S$15,$T$10,IF(ROUNDDOWN(F188,0)=$S$10,$U$10,$T$10))</f>
        <v>　レベル　1</v>
      </c>
      <c r="G189" s="1170" t="s">
        <v>2457</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1131</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1132</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2458</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2459</v>
      </c>
      <c r="H193" s="1306"/>
      <c r="I193" s="1306"/>
      <c r="J193" s="1306"/>
      <c r="K193" s="1306"/>
      <c r="L193" s="1612"/>
      <c r="M193" s="1306"/>
      <c r="N193" s="1306"/>
      <c r="O193" s="1307"/>
    </row>
    <row r="194" spans="2:15" ht="15.75">
      <c r="B194" s="960">
        <v>0</v>
      </c>
      <c r="C194" s="960">
        <v>0</v>
      </c>
      <c r="D194" s="908"/>
      <c r="E194" s="908"/>
      <c r="F194" s="908"/>
      <c r="G194" s="1295" t="s">
        <v>2678</v>
      </c>
      <c r="H194" s="908"/>
      <c r="I194" s="908"/>
      <c r="J194" s="908"/>
      <c r="K194" s="2049"/>
      <c r="L194" s="2049"/>
      <c r="M194" s="2049"/>
      <c r="N194" s="2049"/>
      <c r="O194" s="2039"/>
    </row>
    <row r="195" spans="2:15" ht="16.5" thickBot="1">
      <c r="B195" s="1630"/>
      <c r="C195" s="1630"/>
      <c r="D195" s="908"/>
      <c r="E195" s="908"/>
      <c r="F195" s="1631"/>
      <c r="G195" s="1297" t="s">
        <v>234</v>
      </c>
      <c r="H195" s="3576" t="s">
        <v>2502</v>
      </c>
      <c r="I195" s="3577"/>
      <c r="J195" s="3578"/>
      <c r="K195" s="3576" t="s">
        <v>1133</v>
      </c>
      <c r="L195" s="3577"/>
      <c r="M195" s="3577"/>
      <c r="N195" s="3577"/>
      <c r="O195" s="1088" t="s">
        <v>2503</v>
      </c>
    </row>
    <row r="196" spans="2:15" ht="27.75" customHeight="1">
      <c r="B196" s="1630"/>
      <c r="C196" s="1630"/>
      <c r="D196" s="908"/>
      <c r="E196" s="908"/>
      <c r="F196" s="1631"/>
      <c r="G196" s="3774">
        <v>2</v>
      </c>
      <c r="H196" s="3751" t="s">
        <v>1134</v>
      </c>
      <c r="I196" s="3418"/>
      <c r="J196" s="3769"/>
      <c r="K196" s="3398" t="s">
        <v>1135</v>
      </c>
      <c r="L196" s="3759"/>
      <c r="M196" s="3759"/>
      <c r="N196" s="3759"/>
      <c r="O196" s="2045">
        <v>1</v>
      </c>
    </row>
    <row r="197" spans="2:15" ht="27.75" customHeight="1">
      <c r="B197" s="1630"/>
      <c r="C197" s="1630"/>
      <c r="D197" s="908"/>
      <c r="E197" s="908"/>
      <c r="F197" s="1631"/>
      <c r="G197" s="3779"/>
      <c r="H197" s="3770"/>
      <c r="I197" s="3770"/>
      <c r="J197" s="3771"/>
      <c r="K197" s="3403" t="s">
        <v>1136</v>
      </c>
      <c r="L197" s="3778"/>
      <c r="M197" s="3778"/>
      <c r="N197" s="3778"/>
      <c r="O197" s="2046">
        <v>2</v>
      </c>
    </row>
    <row r="198" spans="2:15" ht="27.75" customHeight="1">
      <c r="B198" s="1630"/>
      <c r="C198" s="1630"/>
      <c r="D198" s="908"/>
      <c r="E198" s="908"/>
      <c r="F198" s="1631"/>
      <c r="G198" s="3562">
        <v>0</v>
      </c>
      <c r="H198" s="3743" t="s">
        <v>1137</v>
      </c>
      <c r="I198" s="3782"/>
      <c r="J198" s="3783"/>
      <c r="K198" s="3403" t="s">
        <v>1138</v>
      </c>
      <c r="L198" s="3778"/>
      <c r="M198" s="3778"/>
      <c r="N198" s="3778"/>
      <c r="O198" s="2046">
        <v>1</v>
      </c>
    </row>
    <row r="199" spans="2:15" ht="15.75">
      <c r="B199" s="1630"/>
      <c r="C199" s="1630"/>
      <c r="D199" s="908"/>
      <c r="E199" s="908"/>
      <c r="F199" s="1631"/>
      <c r="G199" s="3780"/>
      <c r="H199" s="3784"/>
      <c r="I199" s="3785"/>
      <c r="J199" s="3786"/>
      <c r="K199" s="3403" t="s">
        <v>1139</v>
      </c>
      <c r="L199" s="3778"/>
      <c r="M199" s="3778"/>
      <c r="N199" s="3778"/>
      <c r="O199" s="2046">
        <v>2</v>
      </c>
    </row>
    <row r="200" spans="2:15" ht="16.5" thickBot="1">
      <c r="B200" s="1630"/>
      <c r="C200" s="1630"/>
      <c r="D200" s="908"/>
      <c r="E200" s="908"/>
      <c r="F200" s="1631"/>
      <c r="G200" s="3781"/>
      <c r="H200" s="3787"/>
      <c r="I200" s="3788"/>
      <c r="J200" s="3789"/>
      <c r="K200" s="3749" t="s">
        <v>2460</v>
      </c>
      <c r="L200" s="3750"/>
      <c r="M200" s="3750"/>
      <c r="N200" s="3750"/>
      <c r="O200" s="2047">
        <v>4</v>
      </c>
    </row>
    <row r="201" spans="2:15" ht="15.75">
      <c r="B201" s="1630"/>
      <c r="C201" s="1630"/>
      <c r="D201" s="908"/>
      <c r="E201" s="908"/>
      <c r="F201" s="1631"/>
      <c r="G201" s="2856" t="s">
        <v>1777</v>
      </c>
      <c r="H201" s="1209">
        <f>SUM(G196:G200)</f>
        <v>2</v>
      </c>
      <c r="I201" s="2826" t="s">
        <v>3383</v>
      </c>
      <c r="J201" s="1209"/>
      <c r="K201" s="1193"/>
      <c r="L201" s="1194"/>
      <c r="M201" s="1193"/>
      <c r="N201" s="1194"/>
      <c r="O201" s="1298"/>
    </row>
    <row r="202" spans="2:15" ht="15.75">
      <c r="B202" s="1630"/>
      <c r="C202" s="1630"/>
      <c r="D202" s="908"/>
      <c r="E202" s="908"/>
      <c r="F202" s="1631"/>
      <c r="G202" s="1631"/>
      <c r="H202" s="1631"/>
      <c r="I202" s="1631"/>
      <c r="J202" s="1631"/>
      <c r="K202" s="1631"/>
      <c r="L202" s="1631"/>
      <c r="M202" s="1631"/>
      <c r="N202" s="1631"/>
      <c r="O202" s="1631"/>
    </row>
    <row r="203" spans="2:15" ht="15.75">
      <c r="D203" s="908"/>
      <c r="E203" s="908"/>
      <c r="F203" s="1451" t="s">
        <v>2461</v>
      </c>
      <c r="G203" s="908"/>
      <c r="H203" s="908"/>
      <c r="I203" s="908"/>
      <c r="J203" s="908"/>
      <c r="K203" s="2049"/>
      <c r="L203" s="2049"/>
      <c r="M203" s="2049"/>
      <c r="N203" s="2049"/>
      <c r="O203" s="2039"/>
    </row>
    <row r="204" spans="2:15" ht="15" thickBot="1">
      <c r="D204" s="1590"/>
      <c r="E204" s="1140"/>
      <c r="F204" s="1065"/>
      <c r="G204" s="924"/>
      <c r="H204" s="925" t="s">
        <v>1364</v>
      </c>
      <c r="I204" s="926"/>
      <c r="J204" s="927">
        <f>重み!M191</f>
        <v>0.3</v>
      </c>
      <c r="K204" s="1066"/>
      <c r="L204" s="1066"/>
      <c r="M204" s="1066"/>
      <c r="N204" s="1066"/>
      <c r="O204" s="936"/>
    </row>
    <row r="205" spans="2:15" ht="27" customHeight="1" thickBot="1">
      <c r="D205" s="908"/>
      <c r="E205" s="908"/>
      <c r="F205" s="930">
        <v>3</v>
      </c>
      <c r="G205" s="934" t="s">
        <v>2222</v>
      </c>
      <c r="H205" s="935"/>
      <c r="I205" s="935"/>
      <c r="J205" s="935"/>
      <c r="K205" s="935"/>
      <c r="L205" s="1264"/>
      <c r="M205" s="935"/>
      <c r="N205" s="935"/>
      <c r="O205" s="936"/>
    </row>
    <row r="206" spans="2:15" ht="21" customHeight="1">
      <c r="B206" s="1" t="s">
        <v>1509</v>
      </c>
      <c r="C206" s="1">
        <v>1</v>
      </c>
      <c r="D206" s="908"/>
      <c r="E206" s="908"/>
      <c r="F206" s="942" t="str">
        <f>IF(F205=$S$15,$T$10,IF(ROUNDDOWN(F205,0)=$S$10,$U$10,$T$10))</f>
        <v>　レベル　1</v>
      </c>
      <c r="G206" s="1170" t="s">
        <v>2178</v>
      </c>
      <c r="H206" s="1247"/>
      <c r="I206" s="1247"/>
      <c r="J206" s="1247"/>
      <c r="K206" s="1247"/>
      <c r="L206" s="1414"/>
      <c r="M206" s="1247"/>
      <c r="N206" s="1247"/>
      <c r="O206" s="1248"/>
    </row>
    <row r="207" spans="2:15" ht="21" customHeight="1">
      <c r="B207" s="1" t="s">
        <v>1509</v>
      </c>
      <c r="C207" s="1">
        <v>2</v>
      </c>
      <c r="D207" s="908"/>
      <c r="E207" s="908"/>
      <c r="F207" s="942" t="str">
        <f>IF(F205=$S$15,$T$11,IF(ROUNDDOWN(F205,0)=$S$11,$U$11,$T$11))</f>
        <v>　レベル　2</v>
      </c>
      <c r="G207" s="1173" t="s">
        <v>2178</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2883</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2884</v>
      </c>
      <c r="H209" s="1300"/>
      <c r="I209" s="1300"/>
      <c r="J209" s="1300"/>
      <c r="K209" s="1300"/>
      <c r="L209" s="1415"/>
      <c r="M209" s="1300"/>
      <c r="N209" s="1300"/>
      <c r="O209" s="1301"/>
    </row>
    <row r="210" spans="2:15" ht="21" customHeight="1">
      <c r="B210" s="1" t="s">
        <v>1509</v>
      </c>
      <c r="C210" s="1">
        <v>5</v>
      </c>
      <c r="D210" s="908"/>
      <c r="E210" s="908"/>
      <c r="F210" s="953" t="str">
        <f>IF(F205=$S$15,$T$14,IF(ROUNDDOWN(F205,0)=$S$14,$U$14,$T$14))</f>
        <v>　レベル　5</v>
      </c>
      <c r="G210" s="1176" t="s">
        <v>2178</v>
      </c>
      <c r="H210" s="1306"/>
      <c r="I210" s="1306"/>
      <c r="J210" s="1306"/>
      <c r="K210" s="1306"/>
      <c r="L210" s="1612"/>
      <c r="M210" s="1306"/>
      <c r="N210" s="1306"/>
      <c r="O210" s="1307"/>
    </row>
    <row r="211" spans="2:15" ht="24" customHeight="1">
      <c r="B211" s="960">
        <v>0</v>
      </c>
      <c r="C211" s="960">
        <v>0</v>
      </c>
      <c r="D211" s="908"/>
      <c r="E211" s="908"/>
      <c r="F211" s="3772" t="s">
        <v>2885</v>
      </c>
      <c r="G211" s="3772"/>
      <c r="H211" s="3772"/>
      <c r="I211" s="3772"/>
      <c r="J211" s="3772"/>
      <c r="K211" s="3772"/>
      <c r="L211" s="3772"/>
      <c r="M211" s="3772"/>
      <c r="N211" s="3772"/>
      <c r="O211" s="3772"/>
    </row>
    <row r="212" spans="2:15" ht="15.75">
      <c r="D212" s="908"/>
      <c r="E212" s="908"/>
      <c r="F212" s="1631"/>
      <c r="G212" s="1631"/>
      <c r="H212" s="1631"/>
      <c r="I212" s="1631"/>
      <c r="J212" s="1631"/>
      <c r="K212" s="1631"/>
      <c r="L212" s="1631"/>
      <c r="M212" s="1631"/>
      <c r="N212" s="1631"/>
      <c r="O212" s="1631"/>
    </row>
    <row r="213" spans="2:15" ht="14.25">
      <c r="D213" s="1590">
        <v>3.3</v>
      </c>
      <c r="E213" s="1042" t="s">
        <v>2462</v>
      </c>
      <c r="F213" s="1042"/>
      <c r="G213" s="1631"/>
      <c r="H213" s="1631"/>
      <c r="I213" s="1631"/>
      <c r="J213" s="1631"/>
      <c r="K213" s="1631"/>
      <c r="L213" s="1631"/>
      <c r="M213" s="1631"/>
      <c r="N213" s="1631"/>
      <c r="O213" s="1631"/>
    </row>
    <row r="214" spans="2:15" ht="14.25">
      <c r="D214" s="1590"/>
      <c r="E214" s="1042"/>
      <c r="F214" s="1451" t="s">
        <v>2886</v>
      </c>
      <c r="G214" s="1631"/>
      <c r="H214" s="1631"/>
      <c r="I214" s="1631"/>
      <c r="J214" s="1631"/>
      <c r="K214" s="1631"/>
      <c r="L214" s="1631"/>
      <c r="M214" s="1631"/>
      <c r="N214" s="1631"/>
      <c r="O214" s="1631"/>
    </row>
    <row r="215" spans="2:15" ht="14.25" thickBot="1">
      <c r="D215" s="1140"/>
      <c r="E215" s="1140"/>
      <c r="F215" s="1065"/>
      <c r="G215" s="924"/>
      <c r="H215" s="925" t="s">
        <v>1364</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502</v>
      </c>
      <c r="H216" s="935"/>
      <c r="I216" s="935"/>
      <c r="J216" s="935"/>
      <c r="K216" s="935"/>
      <c r="L216" s="1264"/>
      <c r="M216" s="935"/>
      <c r="N216" s="935"/>
      <c r="O216" s="936"/>
    </row>
    <row r="217" spans="2:15" ht="21" customHeight="1">
      <c r="D217" s="908"/>
      <c r="E217" s="904"/>
      <c r="F217" s="942" t="str">
        <f>IF(F216=$S$15,$T$10,IF(ROUNDDOWN(F216,0)=$S$10,$U$10,$T$10))</f>
        <v>　レベル　1</v>
      </c>
      <c r="G217" s="1170" t="s">
        <v>1216</v>
      </c>
      <c r="H217" s="1247"/>
      <c r="I217" s="1247"/>
      <c r="J217" s="1247"/>
      <c r="K217" s="1247"/>
      <c r="L217" s="1414"/>
      <c r="M217" s="1247"/>
      <c r="N217" s="1247"/>
      <c r="O217" s="1248"/>
    </row>
    <row r="218" spans="2:15" ht="21" customHeight="1">
      <c r="D218" s="908"/>
      <c r="E218" s="904"/>
      <c r="F218" s="942" t="str">
        <f>IF(F216=$S$15,$T$11,IF(ROUNDDOWN(F216,0)=$S$11,$U$11,$T$11))</f>
        <v>　レベル　2</v>
      </c>
      <c r="G218" s="1173" t="s">
        <v>1652</v>
      </c>
      <c r="H218" s="1300"/>
      <c r="I218" s="1300"/>
      <c r="J218" s="1300"/>
      <c r="K218" s="1300"/>
      <c r="L218" s="1415"/>
      <c r="M218" s="1300"/>
      <c r="N218" s="1300"/>
      <c r="O218" s="1301"/>
    </row>
    <row r="219" spans="2:15" ht="21" customHeight="1">
      <c r="D219" s="908"/>
      <c r="E219" s="904"/>
      <c r="F219" s="942" t="str">
        <f>IF(F216=$S$15,$T$12,IF(ROUNDDOWN(F216,0)=$S$12,$U$12,$T$12))</f>
        <v>■レベル　3</v>
      </c>
      <c r="G219" s="1173" t="s">
        <v>1653</v>
      </c>
      <c r="H219" s="1300"/>
      <c r="I219" s="1300"/>
      <c r="J219" s="1300"/>
      <c r="K219" s="1300"/>
      <c r="L219" s="1415"/>
      <c r="M219" s="1300"/>
      <c r="N219" s="1300"/>
      <c r="O219" s="1301"/>
    </row>
    <row r="220" spans="2:15" ht="21" customHeight="1">
      <c r="D220" s="908"/>
      <c r="E220" s="904"/>
      <c r="F220" s="942" t="str">
        <f>IF(F216=$S$15,$T$13,IF(ROUNDDOWN(F216,0)=$S$13,$U$13,$T$13))</f>
        <v>　レベル　4</v>
      </c>
      <c r="G220" s="1173" t="s">
        <v>1654</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75">
      <c r="D222" s="908"/>
      <c r="E222" s="904"/>
      <c r="F222" s="908"/>
      <c r="G222" s="1295" t="s">
        <v>2463</v>
      </c>
      <c r="H222" s="909"/>
      <c r="I222" s="1296"/>
      <c r="J222" s="1287"/>
      <c r="K222" s="1287"/>
      <c r="L222" s="909"/>
      <c r="M222" s="909"/>
      <c r="N222" s="909"/>
      <c r="O222" s="2049"/>
    </row>
    <row r="223" spans="2:15" ht="16.5" thickBot="1">
      <c r="D223" s="908"/>
      <c r="E223" s="1296"/>
      <c r="F223" s="904"/>
      <c r="G223" s="1196" t="s">
        <v>234</v>
      </c>
      <c r="H223" s="3773" t="s">
        <v>1133</v>
      </c>
      <c r="I223" s="3773"/>
      <c r="J223" s="3773"/>
      <c r="K223" s="3773"/>
      <c r="L223" s="3773"/>
      <c r="M223" s="3773"/>
      <c r="N223" s="3773"/>
      <c r="O223" s="1088" t="s">
        <v>1756</v>
      </c>
    </row>
    <row r="224" spans="2:15" ht="15.75">
      <c r="D224" s="908"/>
      <c r="E224" s="909"/>
      <c r="F224" s="904"/>
      <c r="G224" s="3774">
        <v>2</v>
      </c>
      <c r="H224" s="3775" t="s">
        <v>2464</v>
      </c>
      <c r="I224" s="3776"/>
      <c r="J224" s="3776"/>
      <c r="K224" s="3776"/>
      <c r="L224" s="3776"/>
      <c r="M224" s="3776"/>
      <c r="N224" s="3776"/>
      <c r="O224" s="3777" t="s">
        <v>2505</v>
      </c>
    </row>
    <row r="225" spans="2:15" ht="15.75">
      <c r="D225" s="908"/>
      <c r="E225" s="909"/>
      <c r="F225" s="904"/>
      <c r="G225" s="3616"/>
      <c r="H225" s="3761" t="s">
        <v>2798</v>
      </c>
      <c r="I225" s="3762"/>
      <c r="J225" s="3762"/>
      <c r="K225" s="3762"/>
      <c r="L225" s="3762"/>
      <c r="M225" s="3762"/>
      <c r="N225" s="3762"/>
      <c r="O225" s="3760"/>
    </row>
    <row r="226" spans="2:15" ht="15.75">
      <c r="D226" s="908"/>
      <c r="E226" s="909"/>
      <c r="F226" s="904"/>
      <c r="G226" s="3563"/>
      <c r="H226" s="3763" t="s">
        <v>2799</v>
      </c>
      <c r="I226" s="3742"/>
      <c r="J226" s="3742"/>
      <c r="K226" s="3742"/>
      <c r="L226" s="3742"/>
      <c r="M226" s="3742"/>
      <c r="N226" s="3742"/>
      <c r="O226" s="3760"/>
    </row>
    <row r="227" spans="2:15" ht="15.75">
      <c r="D227" s="908"/>
      <c r="E227" s="909"/>
      <c r="F227" s="904"/>
      <c r="G227" s="3562">
        <v>0</v>
      </c>
      <c r="H227" s="3791" t="s">
        <v>2800</v>
      </c>
      <c r="I227" s="3792"/>
      <c r="J227" s="3792"/>
      <c r="K227" s="3792"/>
      <c r="L227" s="3792"/>
      <c r="M227" s="3792"/>
      <c r="N227" s="3792"/>
      <c r="O227" s="3760" t="s">
        <v>145</v>
      </c>
    </row>
    <row r="228" spans="2:15" ht="15.75">
      <c r="D228" s="908"/>
      <c r="E228" s="909"/>
      <c r="F228" s="904"/>
      <c r="G228" s="3616"/>
      <c r="H228" s="3761" t="s">
        <v>146</v>
      </c>
      <c r="I228" s="3762"/>
      <c r="J228" s="3762"/>
      <c r="K228" s="3762"/>
      <c r="L228" s="3762"/>
      <c r="M228" s="3762"/>
      <c r="N228" s="3762"/>
      <c r="O228" s="3760"/>
    </row>
    <row r="229" spans="2:15" ht="16.5" thickBot="1">
      <c r="D229" s="908"/>
      <c r="E229" s="909"/>
      <c r="F229" s="904"/>
      <c r="G229" s="3629"/>
      <c r="H229" s="3763" t="s">
        <v>147</v>
      </c>
      <c r="I229" s="3742"/>
      <c r="J229" s="3742"/>
      <c r="K229" s="3742"/>
      <c r="L229" s="3742"/>
      <c r="M229" s="3742"/>
      <c r="N229" s="3742"/>
      <c r="O229" s="3760"/>
    </row>
    <row r="230" spans="2:15" ht="15.75">
      <c r="D230" s="908"/>
      <c r="E230" s="909"/>
      <c r="F230" s="904"/>
      <c r="G230" s="2856" t="s">
        <v>141</v>
      </c>
      <c r="H230" s="1209">
        <f>SUM(G224:G229)</f>
        <v>2</v>
      </c>
      <c r="I230" s="2826" t="s">
        <v>3383</v>
      </c>
      <c r="J230" s="1209"/>
      <c r="K230" s="1193"/>
      <c r="L230" s="1194"/>
      <c r="M230" s="1193"/>
      <c r="N230" s="1194"/>
      <c r="O230" s="1203"/>
    </row>
    <row r="231" spans="2:15" ht="15.75">
      <c r="D231" s="908"/>
      <c r="E231" s="909"/>
      <c r="F231" s="909"/>
      <c r="G231" s="909"/>
      <c r="H231" s="909"/>
      <c r="I231" s="909"/>
      <c r="J231" s="909"/>
      <c r="K231" s="909"/>
      <c r="L231" s="909"/>
      <c r="M231" s="909"/>
      <c r="N231" s="909"/>
      <c r="O231" s="909"/>
    </row>
    <row r="232" spans="2:15" ht="15.75">
      <c r="D232" s="908"/>
      <c r="E232" s="909"/>
      <c r="F232" s="1451" t="s">
        <v>148</v>
      </c>
      <c r="G232" s="909"/>
      <c r="H232" s="909"/>
      <c r="I232" s="909"/>
      <c r="J232" s="909"/>
      <c r="K232" s="909"/>
      <c r="L232" s="909"/>
      <c r="M232" s="909"/>
      <c r="N232" s="909"/>
      <c r="O232" s="909"/>
    </row>
    <row r="233" spans="2:15" ht="15" thickBot="1">
      <c r="D233" s="1589"/>
      <c r="E233" s="904"/>
      <c r="F233" s="1065"/>
      <c r="G233" s="924"/>
      <c r="H233" s="925" t="s">
        <v>1364</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2177</v>
      </c>
      <c r="C235" s="1">
        <v>1</v>
      </c>
      <c r="D235" s="1589"/>
      <c r="E235" s="904"/>
      <c r="F235" s="942" t="str">
        <f>IF(F234=$S$15,$T$10,IF(ROUNDDOWN(F234,0)=$S$10,$U$10,$T$10))</f>
        <v>　レベル　1</v>
      </c>
      <c r="G235" s="1170" t="s">
        <v>359</v>
      </c>
      <c r="H235" s="1171"/>
      <c r="I235" s="1171"/>
      <c r="J235" s="1171"/>
      <c r="K235" s="1171"/>
      <c r="L235" s="1171"/>
      <c r="M235" s="1171"/>
      <c r="N235" s="940"/>
      <c r="O235" s="941"/>
    </row>
    <row r="236" spans="2:15" ht="21" customHeight="1">
      <c r="B236" s="1" t="s">
        <v>2177</v>
      </c>
      <c r="C236" s="1">
        <v>2</v>
      </c>
      <c r="D236" s="1589"/>
      <c r="E236" s="904"/>
      <c r="F236" s="942" t="str">
        <f>IF(F234=$S$15,$T$11,IF(ROUNDDOWN(F234,0)=$S$11,$U$11,$T$11))</f>
        <v>　レベル　2</v>
      </c>
      <c r="G236" s="1573" t="s">
        <v>359</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3037</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la/IxQ7GxX/0SPv/p4bPJ0z2o3ojJ5wVd7mohpG2Rlu1jactSQHosQtyirOQH5iQqa/BSDJVftvOGxFtDm0MqQ==" saltValue="tBbSOYAkdzf9SD6wMbf5SQ==" spinCount="100000"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73" priority="11" stopIfTrue="1">
      <formula>$J$215&gt;0</formula>
    </cfRule>
  </conditionalFormatting>
  <conditionalFormatting sqref="G111:G117">
    <cfRule type="expression" dxfId="72" priority="12" stopIfTrue="1">
      <formula>$J$102&gt;0</formula>
    </cfRule>
  </conditionalFormatting>
  <conditionalFormatting sqref="G91:G92 G94:G97">
    <cfRule type="expression" dxfId="71" priority="13" stopIfTrue="1">
      <formula>$J$82&gt;0</formula>
    </cfRule>
  </conditionalFormatting>
  <conditionalFormatting sqref="K93:N93">
    <cfRule type="expression" dxfId="70" priority="14" stopIfTrue="1">
      <formula>AND($J$82&gt;0,$G$92=1)</formula>
    </cfRule>
  </conditionalFormatting>
  <conditionalFormatting sqref="K98:N98">
    <cfRule type="expression" dxfId="69" priority="15" stopIfTrue="1">
      <formula>AND($J$82&gt;0,$G$97=1)</formula>
    </cfRule>
  </conditionalFormatting>
  <conditionalFormatting sqref="G196:G200">
    <cfRule type="expression" dxfId="68" priority="16" stopIfTrue="1">
      <formula>$J$187&gt;0</formula>
    </cfRule>
  </conditionalFormatting>
  <conditionalFormatting sqref="G40:G59">
    <cfRule type="expression" dxfId="67" priority="17" stopIfTrue="1">
      <formula>AND($J$30&gt;0,$H$37=$T$3)</formula>
    </cfRule>
  </conditionalFormatting>
  <conditionalFormatting sqref="F22 F65 F74 F124 F150 F169 F179 F205 F234">
    <cfRule type="expression" dxfId="66" priority="18" stopIfTrue="1">
      <formula>AND(OR(F22&lt;1,F22&gt;5),F22&lt;&gt;0)</formula>
    </cfRule>
    <cfRule type="expression" dxfId="65" priority="19" stopIfTrue="1">
      <formula>$J21&gt;0</formula>
    </cfRule>
  </conditionalFormatting>
  <conditionalFormatting sqref="F37 F17">
    <cfRule type="expression" dxfId="64" priority="5" stopIfTrue="1">
      <formula>AND(OR(F17&lt;1,F17&gt;5),F17&lt;&gt;0)</formula>
    </cfRule>
    <cfRule type="expression" dxfId="63" priority="6" stopIfTrue="1">
      <formula>H17=$T$4</formula>
    </cfRule>
  </conditionalFormatting>
  <conditionalFormatting sqref="H37">
    <cfRule type="expression" dxfId="62" priority="4">
      <formula>J30&gt;0</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topLeftCell="A63" zoomScaleNormal="100" workbookViewId="0">
      <selection activeCell="C6" sqref="C6"/>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6" hidden="1" customWidth="1"/>
    <col min="9" max="13" width="9.5" customWidth="1"/>
    <col min="14" max="14" width="6.75" style="2687" hidden="1" customWidth="1"/>
    <col min="15" max="16" width="6.75" customWidth="1"/>
    <col min="17" max="17" width="6.75" style="2687" hidden="1" customWidth="1"/>
    <col min="18" max="20" width="6.75" customWidth="1"/>
    <col min="21" max="21" width="8.75" customWidth="1"/>
    <col min="22" max="22" width="8.5" style="2995" hidden="1" customWidth="1"/>
    <col min="23" max="23" width="7.875" style="2995"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9" hidden="1" customWidth="1"/>
    <col min="50" max="50" width="6.25" style="2329" hidden="1" customWidth="1"/>
    <col min="51" max="51" width="6" style="232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CASBEE-建築(新築)2016年版</v>
      </c>
      <c r="C2" s="555"/>
      <c r="D2" s="556"/>
      <c r="E2" s="557"/>
      <c r="F2" s="558"/>
      <c r="I2" s="560"/>
      <c r="J2" s="560"/>
      <c r="M2" s="1101" t="s">
        <v>2157</v>
      </c>
      <c r="N2" s="1229"/>
      <c r="O2" s="1101"/>
      <c r="P2" s="182" t="str">
        <f>メイン!C6</f>
        <v>CASBEE-建築(新築)2016年版</v>
      </c>
      <c r="Q2" s="182"/>
      <c r="S2" s="561"/>
      <c r="T2" s="561"/>
      <c r="U2" s="562"/>
      <c r="V2" s="2996"/>
      <c r="W2" s="2996"/>
      <c r="Y2" s="2359"/>
      <c r="Z2" s="2359"/>
      <c r="AP2" s="1101" t="s">
        <v>2157</v>
      </c>
      <c r="AR2" s="1101"/>
      <c r="AS2" s="182" t="str">
        <f>メイン!C6</f>
        <v>CASBEE-建築(新築)2016年版</v>
      </c>
      <c r="AT2" s="182"/>
      <c r="AZ2" s="1896" t="s">
        <v>462</v>
      </c>
      <c r="BA2" s="1896" t="s">
        <v>464</v>
      </c>
      <c r="BB2" s="1896" t="s">
        <v>466</v>
      </c>
      <c r="BC2" s="1896" t="s">
        <v>468</v>
      </c>
      <c r="BD2" s="1896" t="s">
        <v>472</v>
      </c>
      <c r="BE2" s="1896" t="s">
        <v>474</v>
      </c>
      <c r="BF2" s="1896" t="s">
        <v>476</v>
      </c>
      <c r="BG2" s="1897" t="s">
        <v>1973</v>
      </c>
      <c r="BH2" s="1896" t="s">
        <v>478</v>
      </c>
      <c r="BI2" s="1896" t="s">
        <v>464</v>
      </c>
    </row>
    <row r="3" spans="2:61" ht="14.25" customHeight="1" thickBot="1">
      <c r="B3" s="3855" t="str">
        <f>メイン!$C$11</f>
        <v>○○ビル</v>
      </c>
      <c r="C3" s="3856"/>
      <c r="D3" s="3856"/>
      <c r="E3" s="3856"/>
      <c r="F3" s="3857"/>
      <c r="I3" s="560"/>
      <c r="J3" s="563"/>
      <c r="K3" s="564" t="s">
        <v>2577</v>
      </c>
      <c r="L3" s="560"/>
      <c r="M3" s="1101" t="s">
        <v>2578</v>
      </c>
      <c r="N3" s="1229"/>
      <c r="O3" s="2382"/>
      <c r="P3" s="565" t="str">
        <f>メイン!C5</f>
        <v>CASBEE-BD_NC_2016(v3.0)</v>
      </c>
      <c r="Q3" s="565"/>
      <c r="S3" s="566"/>
      <c r="T3" s="566"/>
      <c r="U3" s="567"/>
      <c r="V3" s="2982"/>
      <c r="W3" s="2982"/>
      <c r="Y3" s="1">
        <f>メイン!I3</f>
        <v>2</v>
      </c>
      <c r="Z3" s="1" t="str">
        <f>メイン!J3</f>
        <v>NC</v>
      </c>
      <c r="AP3" s="1101" t="s">
        <v>2578</v>
      </c>
      <c r="AR3" s="2382"/>
      <c r="AS3" s="565" t="str">
        <f>メイン!C5</f>
        <v>CASBEE-BD_NC_2016(v3.0)</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82"/>
      <c r="W4" s="2982"/>
      <c r="AZ4" s="567"/>
      <c r="BA4" s="567"/>
      <c r="BB4" s="567"/>
      <c r="BC4" s="567"/>
      <c r="BD4" s="567"/>
      <c r="BE4" s="567"/>
      <c r="BF4" s="567"/>
      <c r="BG4" s="567"/>
      <c r="BH4" s="567"/>
      <c r="BI4" s="567"/>
    </row>
    <row r="5" spans="2:61" ht="17.25" customHeight="1" thickBot="1">
      <c r="B5" s="481" t="s">
        <v>2579</v>
      </c>
      <c r="C5" s="574"/>
      <c r="D5" s="575"/>
      <c r="E5" s="3836" t="str">
        <f>IF(メイン!E39=0,"",メイン!E39)</f>
        <v/>
      </c>
      <c r="F5" s="3837"/>
      <c r="G5" s="2626"/>
      <c r="H5" s="2605"/>
      <c r="I5" s="576"/>
      <c r="J5" s="576"/>
      <c r="K5" s="576"/>
      <c r="L5" s="576"/>
      <c r="M5" s="576"/>
      <c r="N5" s="577"/>
      <c r="O5" s="577"/>
      <c r="P5" s="577"/>
      <c r="Q5" s="577"/>
      <c r="R5" s="577"/>
      <c r="S5" s="577"/>
      <c r="T5" s="578"/>
      <c r="U5" s="567"/>
      <c r="V5" s="3838" t="s">
        <v>3488</v>
      </c>
      <c r="W5" s="3839"/>
      <c r="Y5" s="579"/>
      <c r="Z5" s="567"/>
      <c r="AA5" s="579"/>
      <c r="AB5" s="567"/>
      <c r="AC5" s="567"/>
      <c r="AD5" s="567"/>
      <c r="AE5" s="580" t="s">
        <v>2580</v>
      </c>
      <c r="AF5" s="581"/>
      <c r="AG5" s="580" t="s">
        <v>2581</v>
      </c>
      <c r="AI5" s="2330" t="s">
        <v>2943</v>
      </c>
      <c r="AJ5" s="576"/>
      <c r="AK5" s="576"/>
      <c r="AL5" s="576"/>
      <c r="AM5" s="576"/>
      <c r="AN5" s="2331" t="s">
        <v>3491</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845" t="s">
        <v>3213</v>
      </c>
      <c r="H6" s="3846"/>
      <c r="I6" s="587"/>
      <c r="J6" s="588"/>
      <c r="K6" s="588"/>
      <c r="L6" s="588"/>
      <c r="M6" s="588"/>
      <c r="N6" s="589" t="s">
        <v>2580</v>
      </c>
      <c r="O6" s="589"/>
      <c r="P6" s="590"/>
      <c r="Q6" s="589" t="s">
        <v>2581</v>
      </c>
      <c r="R6" s="589"/>
      <c r="S6" s="591"/>
      <c r="T6" s="592"/>
      <c r="U6" s="567"/>
      <c r="V6" s="3840"/>
      <c r="W6" s="3841"/>
      <c r="Y6" s="593" t="s">
        <v>2582</v>
      </c>
      <c r="Z6" s="594"/>
      <c r="AA6" s="595" t="s">
        <v>2583</v>
      </c>
      <c r="AB6" s="594"/>
      <c r="AC6" s="594"/>
      <c r="AD6" s="567"/>
      <c r="AE6" s="596">
        <f>重み!D7</f>
        <v>1</v>
      </c>
      <c r="AF6" s="581"/>
      <c r="AG6" s="596">
        <f>重み!E7</f>
        <v>0</v>
      </c>
      <c r="AI6" s="2379" t="s">
        <v>2944</v>
      </c>
      <c r="AJ6" s="2379" t="s">
        <v>2945</v>
      </c>
      <c r="AK6" s="2379" t="s">
        <v>2946</v>
      </c>
      <c r="AL6" s="2379" t="s">
        <v>2947</v>
      </c>
      <c r="AM6" s="2379" t="s">
        <v>2948</v>
      </c>
      <c r="AN6" s="2379" t="s">
        <v>2949</v>
      </c>
      <c r="AO6" s="2381" t="s">
        <v>2954</v>
      </c>
      <c r="AP6" s="2379" t="s">
        <v>2950</v>
      </c>
      <c r="AQ6" s="2379" t="s">
        <v>333</v>
      </c>
      <c r="AR6" s="2380" t="s">
        <v>2951</v>
      </c>
      <c r="AS6" s="2343" t="s">
        <v>2580</v>
      </c>
      <c r="AT6" s="2344"/>
      <c r="AU6" s="592"/>
      <c r="AW6" s="2215" t="s">
        <v>2952</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1924</v>
      </c>
      <c r="C7" s="2366"/>
      <c r="D7" s="2367"/>
      <c r="E7" s="2368"/>
      <c r="F7" s="2369"/>
      <c r="G7" s="2588" t="s">
        <v>2054</v>
      </c>
      <c r="H7" s="2588" t="s">
        <v>3214</v>
      </c>
      <c r="I7" s="597" t="s">
        <v>1925</v>
      </c>
      <c r="J7" s="598"/>
      <c r="K7" s="598"/>
      <c r="L7" s="598"/>
      <c r="M7" s="599"/>
      <c r="N7" s="2945" t="s">
        <v>2145</v>
      </c>
      <c r="O7" s="600" t="s">
        <v>2145</v>
      </c>
      <c r="P7" s="601" t="s">
        <v>2146</v>
      </c>
      <c r="Q7" s="2946" t="s">
        <v>2145</v>
      </c>
      <c r="R7" s="602" t="s">
        <v>2145</v>
      </c>
      <c r="S7" s="603" t="s">
        <v>2146</v>
      </c>
      <c r="T7" s="604" t="s">
        <v>1926</v>
      </c>
      <c r="U7" s="567"/>
      <c r="V7" s="2983" t="s">
        <v>3489</v>
      </c>
      <c r="W7" s="2983" t="s">
        <v>3490</v>
      </c>
      <c r="Y7" s="605" t="s">
        <v>2913</v>
      </c>
      <c r="Z7" s="606" t="s">
        <v>2146</v>
      </c>
      <c r="AA7" s="605" t="s">
        <v>2913</v>
      </c>
      <c r="AB7" s="606" t="s">
        <v>2146</v>
      </c>
      <c r="AC7" s="607" t="s">
        <v>2147</v>
      </c>
      <c r="AD7" s="567"/>
      <c r="AE7" s="596" t="s">
        <v>1927</v>
      </c>
      <c r="AF7" s="581"/>
      <c r="AG7" s="596" t="s">
        <v>1927</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2145</v>
      </c>
      <c r="AT7" s="2346" t="s">
        <v>2146</v>
      </c>
      <c r="AU7" s="2333" t="s">
        <v>1926</v>
      </c>
      <c r="AW7" s="2140" t="s">
        <v>2953</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1928</v>
      </c>
      <c r="C8" s="2371"/>
      <c r="D8" s="2372"/>
      <c r="E8" s="2373"/>
      <c r="F8" s="2374"/>
      <c r="G8" s="2590"/>
      <c r="H8" s="2590"/>
      <c r="I8" s="608"/>
      <c r="J8" s="609"/>
      <c r="K8" s="609"/>
      <c r="L8" s="609"/>
      <c r="M8" s="610"/>
      <c r="N8" s="611"/>
      <c r="O8" s="611"/>
      <c r="P8" s="612"/>
      <c r="Q8" s="613"/>
      <c r="R8" s="613"/>
      <c r="S8" s="614"/>
      <c r="T8" s="615">
        <f>ROUNDDOWN(AC8,1)</f>
        <v>2.9</v>
      </c>
      <c r="U8" s="567"/>
      <c r="V8" s="2982"/>
      <c r="W8" s="2982"/>
      <c r="Y8" s="616"/>
      <c r="Z8" s="617"/>
      <c r="AA8" s="616"/>
      <c r="AB8" s="617"/>
      <c r="AC8" s="3017">
        <f>Z9*AC9+Z62*AC62+Z112*AC112</f>
        <v>2.9832000000000001</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3.2399999999999998</v>
      </c>
    </row>
    <row r="9" spans="2:61" ht="14.25" customHeight="1" thickBot="1">
      <c r="B9" s="618" t="s">
        <v>1929</v>
      </c>
      <c r="C9" s="619" t="s">
        <v>2148</v>
      </c>
      <c r="D9" s="619"/>
      <c r="E9" s="619"/>
      <c r="F9" s="620"/>
      <c r="G9" s="2552"/>
      <c r="H9" s="2552"/>
      <c r="I9" s="621"/>
      <c r="J9" s="622"/>
      <c r="K9" s="622"/>
      <c r="L9" s="622"/>
      <c r="M9" s="623"/>
      <c r="N9" s="624"/>
      <c r="O9" s="624"/>
      <c r="P9" s="625">
        <f t="shared" ref="P9:P44" si="2">Z9</f>
        <v>0.4</v>
      </c>
      <c r="Q9" s="626"/>
      <c r="R9" s="626"/>
      <c r="S9" s="625">
        <f>AB9</f>
        <v>0</v>
      </c>
      <c r="T9" s="628">
        <f>ROUNDDOWN(AC9,1)</f>
        <v>2.9</v>
      </c>
      <c r="U9" s="567"/>
      <c r="V9" s="2982"/>
      <c r="W9" s="2982"/>
      <c r="Y9" s="616"/>
      <c r="Z9" s="629">
        <f>重み!D9</f>
        <v>0.4</v>
      </c>
      <c r="AA9" s="616"/>
      <c r="AB9" s="629"/>
      <c r="AC9" s="3017">
        <f>AC10*Z10+AC20*Z20+AC35*Z35+AC48*Z48</f>
        <v>2.988</v>
      </c>
      <c r="AD9" s="567"/>
      <c r="AE9" s="630">
        <f>重み!M9</f>
        <v>0.4</v>
      </c>
      <c r="AF9" s="581"/>
      <c r="AG9" s="596">
        <f>重み!N9</f>
        <v>0</v>
      </c>
      <c r="AI9" s="2336"/>
      <c r="AJ9" s="2336"/>
      <c r="AK9" s="2336"/>
      <c r="AL9" s="2336"/>
      <c r="AM9" s="2336"/>
      <c r="AN9" s="2336"/>
      <c r="AO9" s="2336"/>
      <c r="AP9" s="2336"/>
      <c r="AQ9" s="2336"/>
      <c r="AR9" s="2342"/>
      <c r="AS9" s="2349"/>
      <c r="AT9" s="2350">
        <f>P9</f>
        <v>0.4</v>
      </c>
      <c r="AU9" s="628">
        <f>ROUNDDOWN(AW9,1)</f>
        <v>3</v>
      </c>
      <c r="AW9" s="2354">
        <f>SUMPRODUCT(AT10:AT61,AW10:AW61)</f>
        <v>3</v>
      </c>
    </row>
    <row r="10" spans="2:61" ht="14.25" customHeight="1" thickBot="1">
      <c r="B10" s="631">
        <v>1</v>
      </c>
      <c r="C10" s="632" t="s">
        <v>2149</v>
      </c>
      <c r="D10" s="633"/>
      <c r="E10" s="634"/>
      <c r="F10" s="635"/>
      <c r="G10" s="2587"/>
      <c r="H10" s="2587"/>
      <c r="I10" s="636"/>
      <c r="J10" s="637"/>
      <c r="K10" s="637"/>
      <c r="L10" s="637"/>
      <c r="M10" s="638"/>
      <c r="N10" s="2851">
        <f>ROUNDDOWN(Y10,1)</f>
        <v>2.9</v>
      </c>
      <c r="O10" s="2851">
        <f>ROUNDDOWN(Y10,1)</f>
        <v>2.9</v>
      </c>
      <c r="P10" s="640">
        <f>Z10</f>
        <v>0.15</v>
      </c>
      <c r="Q10" s="2851">
        <f>ROUNDDOWN(AA10,1)</f>
        <v>0</v>
      </c>
      <c r="R10" s="2851">
        <f>ROUNDDOWN(AA10,1)</f>
        <v>0</v>
      </c>
      <c r="S10" s="641">
        <f t="shared" ref="S10:S44" si="3">AB10</f>
        <v>0</v>
      </c>
      <c r="T10" s="642">
        <f>ROUNDDOWN(AC10,1)</f>
        <v>2.9</v>
      </c>
      <c r="U10" s="567"/>
      <c r="V10" s="2984"/>
      <c r="W10" s="2984"/>
      <c r="Y10" s="2978">
        <f>Y11*Z11+Y14*Z14+Y19*Z19</f>
        <v>2.9200000000000004</v>
      </c>
      <c r="Z10" s="2611">
        <f>重み!D10</f>
        <v>0.15</v>
      </c>
      <c r="AA10" s="2978">
        <f>AA11*AB11+AA14*AB14+AA19*AB19</f>
        <v>0</v>
      </c>
      <c r="AB10" s="644">
        <f>SUM(AB11,AB14,AB19)</f>
        <v>0</v>
      </c>
      <c r="AC10" s="617">
        <f>IF(AA10=0,Y10,IF(Y10=0,AA10,Y10*AE$6+AA10*AG$6))</f>
        <v>2.9200000000000004</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3425</v>
      </c>
      <c r="E11" s="648"/>
      <c r="F11" s="649"/>
      <c r="G11" s="2597"/>
      <c r="H11" s="2597"/>
      <c r="I11" s="3842"/>
      <c r="J11" s="3843"/>
      <c r="K11" s="3843"/>
      <c r="L11" s="3843"/>
      <c r="M11" s="3844"/>
      <c r="N11" s="2902">
        <v>3</v>
      </c>
      <c r="O11" s="752">
        <f t="shared" ref="O11:O74" si="5">ROUNDDOWN(Y11,1)</f>
        <v>4</v>
      </c>
      <c r="P11" s="653">
        <f t="shared" si="2"/>
        <v>0.4</v>
      </c>
      <c r="Q11" s="2902"/>
      <c r="R11" s="752">
        <f t="shared" ref="R11:R74" si="6">ROUNDDOWN(AA11,1)</f>
        <v>3</v>
      </c>
      <c r="S11" s="653">
        <f t="shared" si="3"/>
        <v>0</v>
      </c>
      <c r="T11" s="654"/>
      <c r="U11" s="567"/>
      <c r="V11" s="2613">
        <f>IF(採点Q1!F8="対象外",0,採点Q1!F8)</f>
        <v>4</v>
      </c>
      <c r="W11" s="2614">
        <f>IF(採点Q1!L8="対象外",0,採点Q1!L8)</f>
        <v>3</v>
      </c>
      <c r="Y11" s="2975">
        <f>IF($Y$3=4,N11,V11)</f>
        <v>4</v>
      </c>
      <c r="Z11" s="2611">
        <f>重み!D11</f>
        <v>0.4</v>
      </c>
      <c r="AA11" s="2975">
        <f>IF($Y$3=4,Q11,W11)</f>
        <v>3</v>
      </c>
      <c r="AB11" s="2611">
        <f>重み!E11</f>
        <v>0</v>
      </c>
      <c r="AC11" s="617"/>
      <c r="AD11" s="567"/>
      <c r="AE11" s="596">
        <f>重み!M11</f>
        <v>0.4</v>
      </c>
      <c r="AF11" s="581"/>
      <c r="AG11" s="596">
        <f>重み!N11</f>
        <v>0</v>
      </c>
      <c r="AW11"/>
      <c r="AX11"/>
      <c r="AY11"/>
    </row>
    <row r="12" spans="2:61" ht="14.25" hidden="1" customHeight="1">
      <c r="B12" s="2821"/>
      <c r="C12" s="2822"/>
      <c r="D12" s="2824">
        <v>1</v>
      </c>
      <c r="E12" s="2825" t="s">
        <v>2150</v>
      </c>
      <c r="F12" s="2823"/>
      <c r="G12" s="2586"/>
      <c r="H12" s="2586"/>
      <c r="I12" s="3831"/>
      <c r="J12" s="3832"/>
      <c r="K12" s="3832"/>
      <c r="L12" s="3832"/>
      <c r="M12" s="3833"/>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2151</v>
      </c>
      <c r="F13" s="2651"/>
      <c r="G13" s="2575"/>
      <c r="H13" s="2575"/>
      <c r="I13" s="3831"/>
      <c r="J13" s="3832"/>
      <c r="K13" s="3832"/>
      <c r="L13" s="3832"/>
      <c r="M13" s="3833"/>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2152</v>
      </c>
      <c r="E14" s="665"/>
      <c r="F14" s="666"/>
      <c r="G14" s="2586"/>
      <c r="H14" s="2586"/>
      <c r="I14" s="636"/>
      <c r="J14" s="637"/>
      <c r="K14" s="637"/>
      <c r="L14" s="637"/>
      <c r="M14" s="638"/>
      <c r="N14" s="3015">
        <f>ROUNDDOWN(Y14,1)</f>
        <v>1.8</v>
      </c>
      <c r="O14" s="2230">
        <f t="shared" si="5"/>
        <v>1.8</v>
      </c>
      <c r="P14" s="659">
        <f t="shared" si="2"/>
        <v>0.4</v>
      </c>
      <c r="Q14" s="652"/>
      <c r="R14" s="2230">
        <f t="shared" si="6"/>
        <v>0</v>
      </c>
      <c r="S14" s="659">
        <f t="shared" si="3"/>
        <v>0</v>
      </c>
      <c r="T14" s="642"/>
      <c r="U14" s="567"/>
      <c r="V14" s="2985"/>
      <c r="W14" s="2985"/>
      <c r="Y14" s="643">
        <f>SUMPRODUCT(Y15:Y18,Z15:Z18)</f>
        <v>1.8000000000000003</v>
      </c>
      <c r="Z14" s="2611">
        <f>重み!D14</f>
        <v>0.4</v>
      </c>
      <c r="AA14" s="643">
        <f>SUMPRODUCT(AA15:AA18,AB15:AB18)</f>
        <v>0</v>
      </c>
      <c r="AB14" s="2611">
        <f>重み!E14</f>
        <v>0</v>
      </c>
      <c r="AC14" s="617"/>
      <c r="AD14" s="567"/>
      <c r="AE14" s="596">
        <f>重み!M14</f>
        <v>0.4</v>
      </c>
      <c r="AF14" s="581"/>
      <c r="AG14" s="596">
        <f>重み!N14</f>
        <v>0</v>
      </c>
      <c r="AW14"/>
      <c r="AX14"/>
      <c r="AY14"/>
    </row>
    <row r="15" spans="2:61" ht="14.25" customHeight="1">
      <c r="B15" s="645"/>
      <c r="C15" s="664"/>
      <c r="D15" s="656">
        <v>1</v>
      </c>
      <c r="E15" s="662" t="s">
        <v>736</v>
      </c>
      <c r="F15" s="649"/>
      <c r="G15" s="2586"/>
      <c r="H15" s="2586"/>
      <c r="I15" s="3831"/>
      <c r="J15" s="3832"/>
      <c r="K15" s="3832"/>
      <c r="L15" s="3832"/>
      <c r="M15" s="3833"/>
      <c r="N15" s="2948">
        <v>0</v>
      </c>
      <c r="O15" s="658">
        <f t="shared" si="5"/>
        <v>1</v>
      </c>
      <c r="P15" s="659">
        <f t="shared" si="2"/>
        <v>0.6</v>
      </c>
      <c r="Q15" s="2948"/>
      <c r="R15" s="658">
        <f t="shared" si="6"/>
        <v>3</v>
      </c>
      <c r="S15" s="659">
        <f t="shared" si="3"/>
        <v>0</v>
      </c>
      <c r="T15" s="642"/>
      <c r="U15" s="567"/>
      <c r="V15" s="2613">
        <f>IF(採点Q1!F68="対象外",0,採点Q1!F68)</f>
        <v>1</v>
      </c>
      <c r="W15" s="2614">
        <f>採点Q1!K68</f>
        <v>3</v>
      </c>
      <c r="Y15" s="660">
        <f t="shared" ref="Y15:Y19" si="8">IF($Y$3=4,N15,V15)</f>
        <v>1</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737</v>
      </c>
      <c r="F16" s="649"/>
      <c r="G16" s="2586"/>
      <c r="H16" s="2586"/>
      <c r="I16" s="3831"/>
      <c r="J16" s="3832"/>
      <c r="K16" s="3832"/>
      <c r="L16" s="3832"/>
      <c r="M16" s="3833"/>
      <c r="N16" s="2949">
        <v>0</v>
      </c>
      <c r="O16" s="667">
        <f t="shared" si="5"/>
        <v>3</v>
      </c>
      <c r="P16" s="659">
        <f t="shared" si="2"/>
        <v>0.4</v>
      </c>
      <c r="Q16" s="2949"/>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738</v>
      </c>
      <c r="F17" s="649"/>
      <c r="G17" s="2586"/>
      <c r="H17" s="2586"/>
      <c r="I17" s="3831"/>
      <c r="J17" s="3832"/>
      <c r="K17" s="3832"/>
      <c r="L17" s="3832"/>
      <c r="M17" s="3833"/>
      <c r="N17" s="2949">
        <v>0</v>
      </c>
      <c r="O17" s="667">
        <f t="shared" si="5"/>
        <v>3</v>
      </c>
      <c r="P17" s="659">
        <f t="shared" si="2"/>
        <v>0</v>
      </c>
      <c r="Q17" s="2949"/>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739</v>
      </c>
      <c r="F18" s="649"/>
      <c r="G18" s="2586"/>
      <c r="H18" s="2586"/>
      <c r="I18" s="3831"/>
      <c r="J18" s="3832"/>
      <c r="K18" s="3832"/>
      <c r="L18" s="3832"/>
      <c r="M18" s="3833"/>
      <c r="N18" s="2949">
        <v>0</v>
      </c>
      <c r="O18" s="667">
        <f t="shared" si="5"/>
        <v>3</v>
      </c>
      <c r="P18" s="659">
        <f t="shared" si="2"/>
        <v>0</v>
      </c>
      <c r="Q18" s="2949"/>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740</v>
      </c>
      <c r="E19" s="648"/>
      <c r="F19" s="649"/>
      <c r="G19" s="2597"/>
      <c r="H19" s="2597"/>
      <c r="I19" s="3831"/>
      <c r="J19" s="3832"/>
      <c r="K19" s="3832"/>
      <c r="L19" s="3832"/>
      <c r="M19" s="3833"/>
      <c r="N19" s="2950">
        <v>0</v>
      </c>
      <c r="O19" s="670">
        <f t="shared" si="5"/>
        <v>3</v>
      </c>
      <c r="P19" s="659">
        <f t="shared" si="2"/>
        <v>0.2</v>
      </c>
      <c r="Q19" s="2950"/>
      <c r="R19" s="670">
        <f t="shared" si="6"/>
        <v>3</v>
      </c>
      <c r="S19" s="659">
        <f t="shared" si="3"/>
        <v>0</v>
      </c>
      <c r="T19" s="642"/>
      <c r="U19" s="567"/>
      <c r="V19" s="2616">
        <f>IF(採点Q1!F132="対象外",0,採点Q1!F132)</f>
        <v>3</v>
      </c>
      <c r="W19" s="2617">
        <f>採点Q1!K132</f>
        <v>3</v>
      </c>
      <c r="Y19" s="2975">
        <f t="shared" si="8"/>
        <v>3</v>
      </c>
      <c r="Z19" s="2611">
        <f>重み!D19</f>
        <v>0.2</v>
      </c>
      <c r="AA19" s="2975">
        <f t="shared" si="9"/>
        <v>3</v>
      </c>
      <c r="AB19" s="2611">
        <f>重み!E19</f>
        <v>0</v>
      </c>
      <c r="AC19" s="2610"/>
      <c r="AD19" s="567"/>
      <c r="AE19" s="596">
        <f>重み!M19</f>
        <v>0.2</v>
      </c>
      <c r="AF19" s="581"/>
      <c r="AG19" s="596">
        <f>重み!N19</f>
        <v>0</v>
      </c>
      <c r="AW19"/>
      <c r="AX19"/>
      <c r="AY19"/>
    </row>
    <row r="20" spans="2:61" ht="14.25" customHeight="1">
      <c r="B20" s="726">
        <v>2</v>
      </c>
      <c r="C20" s="671" t="s">
        <v>741</v>
      </c>
      <c r="D20" s="740"/>
      <c r="E20" s="679"/>
      <c r="F20" s="680"/>
      <c r="G20" s="2585" t="s">
        <v>3215</v>
      </c>
      <c r="H20" s="2584"/>
      <c r="I20" s="673"/>
      <c r="J20" s="2895"/>
      <c r="K20" s="2895"/>
      <c r="L20" s="2895"/>
      <c r="M20" s="2222"/>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86"/>
      <c r="W20" s="2986"/>
      <c r="Y20" s="2978">
        <f>Y21*Z21+Y30*Z30+Y31*Z31+Y32*Z32</f>
        <v>2.9999999999999996</v>
      </c>
      <c r="Z20" s="2611">
        <f>重み!D20</f>
        <v>0.35</v>
      </c>
      <c r="AA20" s="2978">
        <f>AA21*AB21+AA30*AB30+AA31*AB31+AA32*AB32</f>
        <v>0</v>
      </c>
      <c r="AB20" s="644">
        <f>SUM(AB21,AB30,AB31,AB32)</f>
        <v>0</v>
      </c>
      <c r="AC20" s="617">
        <f>IF(AA20=0,Y20,IF(Y20=0,AA20,Y20*AE$6+AA20*AG$6))</f>
        <v>2.9999999999999996</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742</v>
      </c>
      <c r="E21" s="679"/>
      <c r="F21" s="680"/>
      <c r="G21" s="2597"/>
      <c r="H21" s="2597"/>
      <c r="I21" s="636"/>
      <c r="J21" s="637"/>
      <c r="K21" s="637"/>
      <c r="L21" s="637"/>
      <c r="M21" s="638"/>
      <c r="N21" s="652">
        <f t="shared" si="10"/>
        <v>3</v>
      </c>
      <c r="O21" s="652">
        <f t="shared" si="5"/>
        <v>3</v>
      </c>
      <c r="P21" s="681">
        <f t="shared" si="2"/>
        <v>0.5</v>
      </c>
      <c r="Q21" s="682">
        <f t="shared" si="11"/>
        <v>0</v>
      </c>
      <c r="R21" s="2956">
        <f t="shared" si="6"/>
        <v>0</v>
      </c>
      <c r="S21" s="683">
        <f t="shared" si="12"/>
        <v>0</v>
      </c>
      <c r="T21" s="654"/>
      <c r="U21" s="567"/>
      <c r="V21" s="2987"/>
      <c r="W21" s="2987"/>
      <c r="Y21" s="643">
        <f>SUMPRODUCT(Y22:Y29,Z22:Z29)</f>
        <v>2.9999999999999996</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920</v>
      </c>
      <c r="F22" s="685"/>
      <c r="G22" s="2583" t="s">
        <v>3216</v>
      </c>
      <c r="H22" s="2586"/>
      <c r="I22" s="3831"/>
      <c r="J22" s="3832"/>
      <c r="K22" s="3832"/>
      <c r="L22" s="3832"/>
      <c r="M22" s="3833"/>
      <c r="N22" s="2948">
        <v>3</v>
      </c>
      <c r="O22" s="658">
        <f t="shared" si="5"/>
        <v>3</v>
      </c>
      <c r="P22" s="659">
        <f t="shared" si="2"/>
        <v>0.37499999999999994</v>
      </c>
      <c r="Q22" s="2948"/>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2900</v>
      </c>
      <c r="F23" s="2651"/>
      <c r="G23" s="2656" t="s">
        <v>3217</v>
      </c>
      <c r="H23" s="2575" t="s">
        <v>3215</v>
      </c>
      <c r="I23" s="3831"/>
      <c r="J23" s="3832"/>
      <c r="K23" s="3832"/>
      <c r="L23" s="3832"/>
      <c r="M23" s="3833"/>
      <c r="N23" s="2949">
        <v>0</v>
      </c>
      <c r="O23" s="2618">
        <f t="shared" si="5"/>
        <v>0</v>
      </c>
      <c r="P23" s="2652">
        <f t="shared" si="2"/>
        <v>0</v>
      </c>
      <c r="Q23" s="2949"/>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743</v>
      </c>
      <c r="F24" s="685"/>
      <c r="G24" s="2583" t="s">
        <v>3218</v>
      </c>
      <c r="H24" s="2583" t="s">
        <v>3219</v>
      </c>
      <c r="I24" s="3831"/>
      <c r="J24" s="3832"/>
      <c r="K24" s="3832"/>
      <c r="L24" s="3832"/>
      <c r="M24" s="3833"/>
      <c r="N24" s="2949">
        <v>3</v>
      </c>
      <c r="O24" s="667">
        <f t="shared" si="5"/>
        <v>3</v>
      </c>
      <c r="P24" s="659">
        <f t="shared" si="2"/>
        <v>0.25</v>
      </c>
      <c r="Q24" s="2949"/>
      <c r="R24" s="667">
        <f t="shared" si="6"/>
        <v>3</v>
      </c>
      <c r="S24" s="659">
        <f t="shared" si="3"/>
        <v>0</v>
      </c>
      <c r="T24" s="642"/>
      <c r="U24" s="567"/>
      <c r="V24" s="2619">
        <f>IF(採点Q1!F168="対象外",0,採点Q1!F168)</f>
        <v>3</v>
      </c>
      <c r="W24" s="2620">
        <f>採点Q1!K168</f>
        <v>3</v>
      </c>
      <c r="Y24" s="660">
        <f t="shared" si="15"/>
        <v>3</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744</v>
      </c>
      <c r="F25" s="685"/>
      <c r="G25" s="2583" t="s">
        <v>3220</v>
      </c>
      <c r="H25" s="2586"/>
      <c r="I25" s="3831"/>
      <c r="J25" s="3832"/>
      <c r="K25" s="3832"/>
      <c r="L25" s="3832"/>
      <c r="M25" s="3833"/>
      <c r="N25" s="2949">
        <v>3</v>
      </c>
      <c r="O25" s="667">
        <f t="shared" si="5"/>
        <v>3</v>
      </c>
      <c r="P25" s="659">
        <f t="shared" si="2"/>
        <v>0.37499999999999994</v>
      </c>
      <c r="Q25" s="2949"/>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1930</v>
      </c>
      <c r="F26" s="2651"/>
      <c r="G26" s="2656" t="s">
        <v>3220</v>
      </c>
      <c r="H26" s="2575"/>
      <c r="I26" s="3831"/>
      <c r="J26" s="3832"/>
      <c r="K26" s="3832"/>
      <c r="L26" s="3832"/>
      <c r="M26" s="3833"/>
      <c r="N26" s="2949">
        <v>0</v>
      </c>
      <c r="O26" s="2618">
        <f t="shared" si="5"/>
        <v>0</v>
      </c>
      <c r="P26" s="2652">
        <f t="shared" si="2"/>
        <v>0</v>
      </c>
      <c r="Q26" s="2949"/>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745</v>
      </c>
      <c r="F27" s="2651"/>
      <c r="G27" s="2656" t="s">
        <v>3220</v>
      </c>
      <c r="H27" s="2575" t="s">
        <v>3221</v>
      </c>
      <c r="I27" s="3831"/>
      <c r="J27" s="3832"/>
      <c r="K27" s="3832"/>
      <c r="L27" s="3832"/>
      <c r="M27" s="3833"/>
      <c r="N27" s="2949">
        <v>0</v>
      </c>
      <c r="O27" s="2618">
        <f t="shared" si="5"/>
        <v>0</v>
      </c>
      <c r="P27" s="2652">
        <f t="shared" si="2"/>
        <v>0</v>
      </c>
      <c r="Q27" s="2949"/>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270</v>
      </c>
      <c r="F28" s="2651"/>
      <c r="G28" s="2656" t="s">
        <v>3220</v>
      </c>
      <c r="H28" s="2575" t="s">
        <v>3222</v>
      </c>
      <c r="I28" s="3831"/>
      <c r="J28" s="3832"/>
      <c r="K28" s="3832"/>
      <c r="L28" s="3832"/>
      <c r="M28" s="3833"/>
      <c r="N28" s="2949">
        <v>0</v>
      </c>
      <c r="O28" s="2618">
        <f t="shared" si="5"/>
        <v>0</v>
      </c>
      <c r="P28" s="2652">
        <f t="shared" si="2"/>
        <v>0</v>
      </c>
      <c r="Q28" s="2949"/>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271</v>
      </c>
      <c r="F29" s="2651"/>
      <c r="G29" s="2656" t="s">
        <v>3220</v>
      </c>
      <c r="H29" s="2575" t="s">
        <v>3221</v>
      </c>
      <c r="I29" s="3831"/>
      <c r="J29" s="3832"/>
      <c r="K29" s="3832"/>
      <c r="L29" s="3832"/>
      <c r="M29" s="3833"/>
      <c r="N29" s="2949">
        <v>0</v>
      </c>
      <c r="O29" s="2618">
        <f t="shared" si="5"/>
        <v>0</v>
      </c>
      <c r="P29" s="2652">
        <f t="shared" si="2"/>
        <v>0</v>
      </c>
      <c r="Q29" s="2949"/>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272</v>
      </c>
      <c r="E30" s="686"/>
      <c r="F30" s="685"/>
      <c r="G30" s="2583" t="s">
        <v>3220</v>
      </c>
      <c r="H30" s="2586"/>
      <c r="I30" s="3831"/>
      <c r="J30" s="3832"/>
      <c r="K30" s="3832"/>
      <c r="L30" s="3832"/>
      <c r="M30" s="3833"/>
      <c r="N30" s="2951">
        <v>3</v>
      </c>
      <c r="O30" s="687">
        <f t="shared" si="5"/>
        <v>3</v>
      </c>
      <c r="P30" s="659">
        <f t="shared" si="2"/>
        <v>0.2</v>
      </c>
      <c r="Q30" s="2951"/>
      <c r="R30" s="687">
        <f t="shared" si="6"/>
        <v>3</v>
      </c>
      <c r="S30" s="659">
        <f t="shared" si="3"/>
        <v>0</v>
      </c>
      <c r="T30" s="642"/>
      <c r="U30" s="567"/>
      <c r="V30" s="2619">
        <f>IF(採点Q1!F222="対象外",0,採点Q1!F222)</f>
        <v>3</v>
      </c>
      <c r="W30" s="2620">
        <f>採点Q1!K222</f>
        <v>3</v>
      </c>
      <c r="Y30" s="2975">
        <f t="shared" si="15"/>
        <v>3</v>
      </c>
      <c r="Z30" s="2611">
        <f>重み!D30</f>
        <v>0.2</v>
      </c>
      <c r="AA30" s="2975">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273</v>
      </c>
      <c r="E31" s="679"/>
      <c r="F31" s="680"/>
      <c r="G31" s="2583" t="s">
        <v>3220</v>
      </c>
      <c r="H31" s="2586"/>
      <c r="I31" s="3831"/>
      <c r="J31" s="3832"/>
      <c r="K31" s="3832"/>
      <c r="L31" s="3832"/>
      <c r="M31" s="3833"/>
      <c r="N31" s="2949">
        <v>3</v>
      </c>
      <c r="O31" s="2618">
        <f t="shared" si="5"/>
        <v>3</v>
      </c>
      <c r="P31" s="659">
        <f t="shared" si="2"/>
        <v>0.3</v>
      </c>
      <c r="Q31" s="2949"/>
      <c r="R31" s="2618">
        <f t="shared" si="6"/>
        <v>3</v>
      </c>
      <c r="S31" s="659">
        <f t="shared" si="3"/>
        <v>0</v>
      </c>
      <c r="T31" s="642"/>
      <c r="U31" s="567"/>
      <c r="V31" s="2616">
        <f>IF(採点Q1!F239="対象外",0,採点Q1!F239)</f>
        <v>3</v>
      </c>
      <c r="W31" s="2617">
        <f>採点Q1!K239</f>
        <v>3</v>
      </c>
      <c r="Y31" s="2975">
        <f>IF($Y$3=4,N31,V31)</f>
        <v>3</v>
      </c>
      <c r="Z31" s="2611">
        <f>重み!D31</f>
        <v>0.3</v>
      </c>
      <c r="AA31" s="2975">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14">
        <v>2.2999999999999998</v>
      </c>
      <c r="D32" s="2640" t="s">
        <v>273</v>
      </c>
      <c r="E32" s="686"/>
      <c r="F32" s="685"/>
      <c r="G32" s="2583" t="s">
        <v>3220</v>
      </c>
      <c r="H32" s="2586"/>
      <c r="I32" s="636"/>
      <c r="J32" s="637"/>
      <c r="K32" s="637"/>
      <c r="L32" s="637"/>
      <c r="M32" s="638"/>
      <c r="N32" s="2949">
        <v>0</v>
      </c>
      <c r="O32" s="2618">
        <f t="shared" si="5"/>
        <v>0</v>
      </c>
      <c r="P32" s="659">
        <f t="shared" ref="P32" si="17">Z32</f>
        <v>0</v>
      </c>
      <c r="Q32" s="2949"/>
      <c r="R32" s="2618">
        <f t="shared" si="6"/>
        <v>0</v>
      </c>
      <c r="S32" s="659">
        <f t="shared" ref="S32" si="18">AB32</f>
        <v>0</v>
      </c>
      <c r="T32" s="642"/>
      <c r="U32" s="2607"/>
      <c r="V32" s="2995"/>
      <c r="W32" s="2995"/>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274</v>
      </c>
      <c r="F33" s="2641"/>
      <c r="G33" s="2597"/>
      <c r="H33" s="2597"/>
      <c r="I33" s="3831"/>
      <c r="J33" s="3832"/>
      <c r="K33" s="3832"/>
      <c r="L33" s="3832"/>
      <c r="M33" s="3833"/>
      <c r="N33" s="2949">
        <v>0</v>
      </c>
      <c r="O33" s="2618">
        <f t="shared" si="5"/>
        <v>0</v>
      </c>
      <c r="P33" s="659">
        <f t="shared" si="2"/>
        <v>0</v>
      </c>
      <c r="Q33" s="2949"/>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1845</v>
      </c>
      <c r="F34" s="2641"/>
      <c r="G34" s="2597"/>
      <c r="H34" s="2597"/>
      <c r="I34" s="3831"/>
      <c r="J34" s="3832"/>
      <c r="K34" s="3832"/>
      <c r="L34" s="3832"/>
      <c r="M34" s="3833"/>
      <c r="N34" s="2950">
        <v>0</v>
      </c>
      <c r="O34" s="670">
        <f t="shared" si="5"/>
        <v>0</v>
      </c>
      <c r="P34" s="659">
        <f t="shared" si="2"/>
        <v>0</v>
      </c>
      <c r="Q34" s="2950"/>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1846</v>
      </c>
      <c r="D35" s="740"/>
      <c r="E35" s="679"/>
      <c r="F35" s="680"/>
      <c r="G35" s="2585" t="s">
        <v>3215</v>
      </c>
      <c r="H35" s="2582"/>
      <c r="I35" s="650"/>
      <c r="J35" s="651"/>
      <c r="K35" s="651"/>
      <c r="L35" s="651"/>
      <c r="M35" s="3010"/>
      <c r="N35" s="2221">
        <f>ROUNDDOWN(Y35,1)</f>
        <v>3</v>
      </c>
      <c r="O35" s="2221">
        <f t="shared" si="5"/>
        <v>3</v>
      </c>
      <c r="P35" s="675">
        <f>Z35</f>
        <v>0.25</v>
      </c>
      <c r="Q35" s="2221">
        <f>ROUNDDOWN(AA35,1)</f>
        <v>0</v>
      </c>
      <c r="R35" s="2221">
        <f t="shared" si="6"/>
        <v>0</v>
      </c>
      <c r="S35" s="676">
        <f t="shared" ref="S35:S36" si="21">AB35</f>
        <v>0</v>
      </c>
      <c r="T35" s="677">
        <f>ROUNDDOWN(AC35,1)</f>
        <v>3</v>
      </c>
      <c r="U35" s="567"/>
      <c r="V35" s="2986"/>
      <c r="W35" s="2986"/>
      <c r="Y35" s="2978">
        <f>Y36*Z36+Y40*Z40+Y44*Z44+Y47*Z47</f>
        <v>3</v>
      </c>
      <c r="Z35" s="2611">
        <f>重み!D35</f>
        <v>0.25</v>
      </c>
      <c r="AA35" s="2978">
        <f>AA36*AB36+AA40*AB40+AA44*AB44+AA47*AB47</f>
        <v>0</v>
      </c>
      <c r="AB35" s="644">
        <f>SUM(AB36,AB40,AB44,AB47)</f>
        <v>0</v>
      </c>
      <c r="AC35" s="617">
        <f>IF(AA35=0,Y35,IF(Y35=0,AA35,Y35*AE$6+AA35*AG$6))</f>
        <v>3</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1847</v>
      </c>
      <c r="E36" s="679"/>
      <c r="F36" s="680"/>
      <c r="G36" s="2597"/>
      <c r="H36" s="2597"/>
      <c r="I36" s="650"/>
      <c r="J36" s="651"/>
      <c r="K36" s="651"/>
      <c r="L36" s="651"/>
      <c r="M36" s="3010"/>
      <c r="N36" s="652">
        <f>ROUNDDOWN(Y36,1)</f>
        <v>3</v>
      </c>
      <c r="O36" s="652">
        <f t="shared" si="5"/>
        <v>3</v>
      </c>
      <c r="P36" s="681">
        <f>Z36</f>
        <v>0.3</v>
      </c>
      <c r="Q36" s="682">
        <f>ROUNDDOWN(AA36,1)</f>
        <v>0</v>
      </c>
      <c r="R36" s="2956">
        <f t="shared" si="6"/>
        <v>0</v>
      </c>
      <c r="S36" s="683">
        <f t="shared" si="21"/>
        <v>0</v>
      </c>
      <c r="T36" s="654"/>
      <c r="U36" s="567"/>
      <c r="V36" s="2987"/>
      <c r="W36" s="2987"/>
      <c r="Y36" s="643">
        <f>SUMPRODUCT(Y37:Y39,Z37:Z39)</f>
        <v>3</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1848</v>
      </c>
      <c r="F37" s="685"/>
      <c r="G37" s="2583" t="s">
        <v>3223</v>
      </c>
      <c r="H37" s="2586"/>
      <c r="I37" s="3831"/>
      <c r="J37" s="3832"/>
      <c r="K37" s="3832"/>
      <c r="L37" s="3832"/>
      <c r="M37" s="3833"/>
      <c r="N37" s="2953">
        <v>3</v>
      </c>
      <c r="O37" s="658">
        <f t="shared" si="5"/>
        <v>3</v>
      </c>
      <c r="P37" s="659">
        <f t="shared" si="2"/>
        <v>0.6</v>
      </c>
      <c r="Q37" s="2948"/>
      <c r="R37" s="658">
        <f t="shared" si="6"/>
        <v>3</v>
      </c>
      <c r="S37" s="659">
        <f t="shared" si="3"/>
        <v>0</v>
      </c>
      <c r="T37" s="642"/>
      <c r="U37" s="567"/>
      <c r="V37" s="2613">
        <f>IF(採点Q1!F267="対象外",0,採点Q1!F267)</f>
        <v>3</v>
      </c>
      <c r="W37" s="2614">
        <f>採点Q1!K267</f>
        <v>3</v>
      </c>
      <c r="Y37" s="660">
        <f t="shared" ref="Y37:Y39" si="23">IF($Y$3=4,N37,V37)</f>
        <v>3</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1849</v>
      </c>
      <c r="F38" s="685"/>
      <c r="G38" s="2583" t="s">
        <v>3224</v>
      </c>
      <c r="H38" s="2586"/>
      <c r="I38" s="3831"/>
      <c r="J38" s="3832"/>
      <c r="K38" s="3832"/>
      <c r="L38" s="3832"/>
      <c r="M38" s="3833"/>
      <c r="N38" s="2954">
        <v>0</v>
      </c>
      <c r="O38" s="667">
        <f t="shared" si="5"/>
        <v>0</v>
      </c>
      <c r="P38" s="659">
        <f t="shared" si="2"/>
        <v>0</v>
      </c>
      <c r="Q38" s="2949"/>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1850</v>
      </c>
      <c r="F39" s="685"/>
      <c r="G39" s="2583" t="s">
        <v>3224</v>
      </c>
      <c r="H39" s="2586"/>
      <c r="I39" s="3831"/>
      <c r="J39" s="3832"/>
      <c r="K39" s="3832"/>
      <c r="L39" s="3832"/>
      <c r="M39" s="3833"/>
      <c r="N39" s="2955">
        <v>3</v>
      </c>
      <c r="O39" s="663">
        <f t="shared" si="5"/>
        <v>3</v>
      </c>
      <c r="P39" s="659">
        <f t="shared" si="2"/>
        <v>0.4</v>
      </c>
      <c r="Q39" s="2952"/>
      <c r="R39" s="663">
        <f t="shared" si="6"/>
        <v>3</v>
      </c>
      <c r="S39" s="659">
        <f t="shared" si="3"/>
        <v>0</v>
      </c>
      <c r="T39" s="642"/>
      <c r="U39" s="567"/>
      <c r="V39" s="2616">
        <f>IF(採点Q1!F285="対象外",0,採点Q1!F285)</f>
        <v>3</v>
      </c>
      <c r="W39" s="2617">
        <f>採点Q1!K285</f>
        <v>3</v>
      </c>
      <c r="Y39" s="660">
        <f t="shared" si="23"/>
        <v>3</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1851</v>
      </c>
      <c r="E40" s="679"/>
      <c r="F40" s="680"/>
      <c r="G40" s="2581"/>
      <c r="H40" s="2597"/>
      <c r="I40" s="636"/>
      <c r="J40" s="637"/>
      <c r="K40" s="637"/>
      <c r="L40" s="637"/>
      <c r="M40" s="638"/>
      <c r="N40" s="3015">
        <f>ROUNDDOWN(Y40,1)</f>
        <v>3</v>
      </c>
      <c r="O40" s="2230">
        <f t="shared" si="5"/>
        <v>3</v>
      </c>
      <c r="P40" s="640">
        <f>Z40</f>
        <v>0.3</v>
      </c>
      <c r="Q40" s="696">
        <f>ROUNDDOWN(AA40,1)</f>
        <v>0</v>
      </c>
      <c r="R40" s="2230">
        <f t="shared" si="6"/>
        <v>0</v>
      </c>
      <c r="S40" s="641">
        <f t="shared" ref="S40" si="25">AB40</f>
        <v>0</v>
      </c>
      <c r="T40" s="642"/>
      <c r="U40" s="567"/>
      <c r="V40" s="2985"/>
      <c r="W40" s="2985"/>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1852</v>
      </c>
      <c r="F41" s="2651"/>
      <c r="G41" s="2656"/>
      <c r="H41" s="2575"/>
      <c r="I41" s="3831"/>
      <c r="J41" s="3832"/>
      <c r="K41" s="3832"/>
      <c r="L41" s="3832"/>
      <c r="M41" s="3833"/>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1853</v>
      </c>
      <c r="F42" s="685"/>
      <c r="G42" s="2583" t="s">
        <v>3224</v>
      </c>
      <c r="H42" s="2586"/>
      <c r="I42" s="3831"/>
      <c r="J42" s="3832"/>
      <c r="K42" s="3832"/>
      <c r="L42" s="3832"/>
      <c r="M42" s="3833"/>
      <c r="N42" s="2954">
        <v>5</v>
      </c>
      <c r="O42" s="667">
        <f t="shared" si="5"/>
        <v>3</v>
      </c>
      <c r="P42" s="659">
        <f t="shared" si="2"/>
        <v>1</v>
      </c>
      <c r="Q42" s="2951"/>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989</v>
      </c>
      <c r="F43" s="2641"/>
      <c r="G43" s="2580"/>
      <c r="H43" s="2586"/>
      <c r="I43" s="3831"/>
      <c r="J43" s="3832"/>
      <c r="K43" s="3832"/>
      <c r="L43" s="3832"/>
      <c r="M43" s="3833"/>
      <c r="N43" s="2954">
        <v>0</v>
      </c>
      <c r="O43" s="667">
        <f t="shared" si="5"/>
        <v>0</v>
      </c>
      <c r="P43" s="659">
        <f t="shared" si="2"/>
        <v>0</v>
      </c>
      <c r="Q43" s="2951"/>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990</v>
      </c>
      <c r="E44" s="678"/>
      <c r="F44" s="699"/>
      <c r="G44" s="2583" t="s">
        <v>3224</v>
      </c>
      <c r="H44" s="2586"/>
      <c r="I44" s="3831"/>
      <c r="J44" s="3832"/>
      <c r="K44" s="3832"/>
      <c r="L44" s="3832"/>
      <c r="M44" s="3833"/>
      <c r="N44" s="3013">
        <v>3</v>
      </c>
      <c r="O44" s="687">
        <f t="shared" si="5"/>
        <v>3</v>
      </c>
      <c r="P44" s="659">
        <f t="shared" si="2"/>
        <v>0.15</v>
      </c>
      <c r="Q44" s="2951"/>
      <c r="R44" s="687">
        <f t="shared" si="6"/>
        <v>3</v>
      </c>
      <c r="S44" s="659">
        <f t="shared" si="3"/>
        <v>0</v>
      </c>
      <c r="T44" s="642"/>
      <c r="U44" s="567"/>
      <c r="V44" s="2619">
        <f>IF(採点Q1!F327="対象外",0,採点Q1!F327)</f>
        <v>3</v>
      </c>
      <c r="W44" s="2620">
        <f>採点Q1!M327</f>
        <v>3</v>
      </c>
      <c r="Y44" s="2975">
        <f t="shared" si="26"/>
        <v>3</v>
      </c>
      <c r="Z44" s="2611">
        <f>重み!D44</f>
        <v>0.15</v>
      </c>
      <c r="AA44" s="2975">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991</v>
      </c>
      <c r="F45" s="2651"/>
      <c r="G45" s="2656" t="s">
        <v>3224</v>
      </c>
      <c r="H45" s="2574"/>
      <c r="I45" s="3831"/>
      <c r="J45" s="3832"/>
      <c r="K45" s="3832"/>
      <c r="L45" s="3832"/>
      <c r="M45" s="3833"/>
      <c r="N45" s="2954">
        <v>0</v>
      </c>
      <c r="O45" s="2618">
        <f t="shared" si="5"/>
        <v>0</v>
      </c>
      <c r="P45" s="2652">
        <f t="shared" ref="P45:P79" si="28">Z45</f>
        <v>0</v>
      </c>
      <c r="Q45" s="2949"/>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992</v>
      </c>
      <c r="F46" s="2651"/>
      <c r="G46" s="2656" t="s">
        <v>3224</v>
      </c>
      <c r="H46" s="2574"/>
      <c r="I46" s="3831"/>
      <c r="J46" s="3832"/>
      <c r="K46" s="3832"/>
      <c r="L46" s="3832"/>
      <c r="M46" s="3833"/>
      <c r="N46" s="2954">
        <v>0</v>
      </c>
      <c r="O46" s="2618">
        <f t="shared" si="5"/>
        <v>0</v>
      </c>
      <c r="P46" s="2652">
        <f t="shared" si="28"/>
        <v>0</v>
      </c>
      <c r="Q46" s="2949"/>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834" t="s">
        <v>993</v>
      </c>
      <c r="E47" s="3835"/>
      <c r="F47" s="685"/>
      <c r="G47" s="2583" t="s">
        <v>3224</v>
      </c>
      <c r="H47" s="2586"/>
      <c r="I47" s="3831"/>
      <c r="J47" s="3832"/>
      <c r="K47" s="3832"/>
      <c r="L47" s="3832"/>
      <c r="M47" s="3833"/>
      <c r="N47" s="2950">
        <v>3</v>
      </c>
      <c r="O47" s="670">
        <f t="shared" si="5"/>
        <v>3</v>
      </c>
      <c r="P47" s="659">
        <f t="shared" si="28"/>
        <v>0.25</v>
      </c>
      <c r="Q47" s="2950"/>
      <c r="R47" s="670">
        <f t="shared" si="6"/>
        <v>3</v>
      </c>
      <c r="S47" s="659">
        <f t="shared" si="29"/>
        <v>0</v>
      </c>
      <c r="T47" s="642"/>
      <c r="U47" s="567"/>
      <c r="V47" s="2616">
        <f>IF(採点Q1!F345="対象外",0,採点Q1!F345)</f>
        <v>3</v>
      </c>
      <c r="W47" s="2617">
        <f>採点Q1!K345</f>
        <v>3</v>
      </c>
      <c r="Y47" s="2975">
        <f t="shared" si="26"/>
        <v>3</v>
      </c>
      <c r="Z47" s="2611">
        <f>重み!D47</f>
        <v>0.25</v>
      </c>
      <c r="AA47" s="2975">
        <f t="shared" si="27"/>
        <v>3</v>
      </c>
      <c r="AB47" s="2611">
        <f>重み!E47</f>
        <v>0</v>
      </c>
      <c r="AC47" s="2610"/>
      <c r="AD47" s="567"/>
      <c r="AE47" s="596">
        <f>重み!M47</f>
        <v>0.25</v>
      </c>
      <c r="AF47" s="581"/>
      <c r="AG47" s="596">
        <f>重み!N47</f>
        <v>0</v>
      </c>
      <c r="AW47"/>
      <c r="AX47"/>
      <c r="AY47"/>
    </row>
    <row r="48" spans="2:61" ht="14.25" customHeight="1">
      <c r="B48" s="726">
        <v>4</v>
      </c>
      <c r="C48" s="671" t="s">
        <v>994</v>
      </c>
      <c r="D48" s="740"/>
      <c r="E48" s="679"/>
      <c r="F48" s="680"/>
      <c r="G48" s="2585" t="s">
        <v>3225</v>
      </c>
      <c r="H48" s="2582"/>
      <c r="I48" s="650"/>
      <c r="J48" s="651"/>
      <c r="K48" s="651"/>
      <c r="L48" s="651"/>
      <c r="M48" s="3010"/>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86"/>
      <c r="W48" s="2986"/>
      <c r="Y48" s="2978">
        <f>Y49*Z49+Y54*Z54+Y59*Z59</f>
        <v>3</v>
      </c>
      <c r="Z48" s="2611">
        <f>重み!D48</f>
        <v>0.25</v>
      </c>
      <c r="AA48" s="2978">
        <f>AA49*AB49+AA54*AB54+AA59*AB59</f>
        <v>0</v>
      </c>
      <c r="AB48" s="644">
        <f>SUM(AB49,AB54,AB59)</f>
        <v>0</v>
      </c>
      <c r="AC48" s="617">
        <f>IF(AA48=0,Y48,IF(Y48=0,AA48,Y48*AE$6+AA48*AG$6))</f>
        <v>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995</v>
      </c>
      <c r="E49" s="678"/>
      <c r="F49" s="699"/>
      <c r="G49" s="2597"/>
      <c r="H49" s="2597"/>
      <c r="I49" s="650"/>
      <c r="J49" s="651"/>
      <c r="K49" s="651"/>
      <c r="L49" s="651"/>
      <c r="M49" s="3010"/>
      <c r="N49" s="695">
        <f t="shared" si="30"/>
        <v>3</v>
      </c>
      <c r="O49" s="695">
        <f t="shared" si="5"/>
        <v>3</v>
      </c>
      <c r="P49" s="640">
        <f t="shared" si="28"/>
        <v>0.5</v>
      </c>
      <c r="Q49" s="696">
        <f t="shared" si="31"/>
        <v>0</v>
      </c>
      <c r="R49" s="2956">
        <f t="shared" si="6"/>
        <v>0</v>
      </c>
      <c r="S49" s="641">
        <f t="shared" si="29"/>
        <v>0</v>
      </c>
      <c r="T49" s="642"/>
      <c r="U49" s="567"/>
      <c r="V49" s="2987"/>
      <c r="W49" s="2987"/>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996</v>
      </c>
      <c r="F50" s="685"/>
      <c r="G50" s="2583" t="s">
        <v>3226</v>
      </c>
      <c r="H50" s="2586"/>
      <c r="I50" s="3831"/>
      <c r="J50" s="3832"/>
      <c r="K50" s="3832"/>
      <c r="L50" s="3832"/>
      <c r="M50" s="3833"/>
      <c r="N50" s="2948">
        <v>3</v>
      </c>
      <c r="O50" s="658">
        <f t="shared" si="5"/>
        <v>3</v>
      </c>
      <c r="P50" s="659">
        <f t="shared" si="28"/>
        <v>1</v>
      </c>
      <c r="Q50" s="2948"/>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997</v>
      </c>
      <c r="F51" s="2641"/>
      <c r="G51" s="2580"/>
      <c r="H51" s="2586"/>
      <c r="I51" s="3831"/>
      <c r="J51" s="3832"/>
      <c r="K51" s="3832"/>
      <c r="L51" s="3832"/>
      <c r="M51" s="3833"/>
      <c r="N51" s="2954">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998</v>
      </c>
      <c r="F52" s="2651"/>
      <c r="G52" s="2656"/>
      <c r="H52" s="2575"/>
      <c r="I52" s="3831"/>
      <c r="J52" s="3832"/>
      <c r="K52" s="3832"/>
      <c r="L52" s="3832"/>
      <c r="M52" s="3833"/>
      <c r="N52" s="2954">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999</v>
      </c>
      <c r="F53" s="2651"/>
      <c r="G53" s="2656"/>
      <c r="H53" s="2575"/>
      <c r="I53" s="3831"/>
      <c r="J53" s="3832"/>
      <c r="K53" s="3832"/>
      <c r="L53" s="3832"/>
      <c r="M53" s="3833"/>
      <c r="N53" s="2955">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1000</v>
      </c>
      <c r="E54" s="679"/>
      <c r="F54" s="685"/>
      <c r="G54" s="2579"/>
      <c r="H54" s="2597"/>
      <c r="I54" s="636"/>
      <c r="J54" s="637"/>
      <c r="K54" s="637"/>
      <c r="L54" s="637"/>
      <c r="M54" s="638"/>
      <c r="N54" s="3015">
        <f>ROUNDDOWN(Y54,1)</f>
        <v>3</v>
      </c>
      <c r="O54" s="2230">
        <f t="shared" si="5"/>
        <v>3</v>
      </c>
      <c r="P54" s="640">
        <f>Z54</f>
        <v>0.3</v>
      </c>
      <c r="Q54" s="2230">
        <f>ROUNDDOWN(AA54,1)</f>
        <v>0</v>
      </c>
      <c r="R54" s="2230">
        <f t="shared" si="6"/>
        <v>0</v>
      </c>
      <c r="S54" s="641">
        <f t="shared" si="29"/>
        <v>0</v>
      </c>
      <c r="T54" s="642"/>
      <c r="U54" s="567"/>
      <c r="V54" s="2985"/>
      <c r="W54" s="2985"/>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1001</v>
      </c>
      <c r="F55" s="701"/>
      <c r="G55" s="2583" t="s">
        <v>3227</v>
      </c>
      <c r="H55" s="2586"/>
      <c r="I55" s="3831"/>
      <c r="J55" s="3832"/>
      <c r="K55" s="3832"/>
      <c r="L55" s="3832"/>
      <c r="M55" s="3833"/>
      <c r="N55" s="2953">
        <v>3</v>
      </c>
      <c r="O55" s="658">
        <f t="shared" si="5"/>
        <v>3</v>
      </c>
      <c r="P55" s="659">
        <f t="shared" si="28"/>
        <v>0.33333333333333331</v>
      </c>
      <c r="Q55" s="2948"/>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2362</v>
      </c>
      <c r="F56" s="685"/>
      <c r="G56" s="2583" t="s">
        <v>3227</v>
      </c>
      <c r="H56" s="2597"/>
      <c r="I56" s="3831"/>
      <c r="J56" s="3832"/>
      <c r="K56" s="3832"/>
      <c r="L56" s="3832"/>
      <c r="M56" s="3833"/>
      <c r="N56" s="2954">
        <v>3</v>
      </c>
      <c r="O56" s="667">
        <f t="shared" si="5"/>
        <v>3</v>
      </c>
      <c r="P56" s="659">
        <f t="shared" si="28"/>
        <v>0.33333333333333331</v>
      </c>
      <c r="Q56" s="2949"/>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2363</v>
      </c>
      <c r="F57" s="685"/>
      <c r="G57" s="2583" t="s">
        <v>3227</v>
      </c>
      <c r="H57" s="2586"/>
      <c r="I57" s="3831"/>
      <c r="J57" s="3832"/>
      <c r="K57" s="3832"/>
      <c r="L57" s="3832"/>
      <c r="M57" s="3833"/>
      <c r="N57" s="2955">
        <v>3</v>
      </c>
      <c r="O57" s="663">
        <f t="shared" si="5"/>
        <v>3</v>
      </c>
      <c r="P57" s="659">
        <f t="shared" si="28"/>
        <v>0.33333333333333331</v>
      </c>
      <c r="Q57" s="2952"/>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2364</v>
      </c>
      <c r="F58" s="2651"/>
      <c r="G58" s="2656"/>
      <c r="H58" s="2575"/>
      <c r="I58" s="3831"/>
      <c r="J58" s="3832"/>
      <c r="K58" s="3832"/>
      <c r="L58" s="3832"/>
      <c r="M58" s="3833"/>
      <c r="N58" s="2955">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2365</v>
      </c>
      <c r="E59" s="679"/>
      <c r="F59" s="680"/>
      <c r="G59" s="2581"/>
      <c r="H59" s="2597"/>
      <c r="I59" s="636"/>
      <c r="J59" s="637"/>
      <c r="K59" s="637"/>
      <c r="L59" s="637"/>
      <c r="M59" s="638"/>
      <c r="N59" s="3015">
        <f>ROUNDDOWN(Y59,1)</f>
        <v>3</v>
      </c>
      <c r="O59" s="695">
        <f t="shared" si="5"/>
        <v>3</v>
      </c>
      <c r="P59" s="640">
        <f>Z59</f>
        <v>0.2</v>
      </c>
      <c r="Q59" s="696">
        <f>ROUNDDOWN(AA59,1)</f>
        <v>0</v>
      </c>
      <c r="R59" s="2230">
        <f t="shared" si="6"/>
        <v>0</v>
      </c>
      <c r="S59" s="641">
        <f t="shared" si="29"/>
        <v>0</v>
      </c>
      <c r="T59" s="642"/>
      <c r="U59" s="567"/>
      <c r="V59" s="2985"/>
      <c r="W59" s="2986"/>
      <c r="X59" s="2687"/>
      <c r="Y59" s="643">
        <f>SUMPRODUCT(Y60:Y61,Z60:Z61)</f>
        <v>3</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2366</v>
      </c>
      <c r="F60" s="685"/>
      <c r="G60" s="2583" t="s">
        <v>3227</v>
      </c>
      <c r="H60" s="2586"/>
      <c r="I60" s="3831"/>
      <c r="J60" s="3832"/>
      <c r="K60" s="3832"/>
      <c r="L60" s="3832"/>
      <c r="M60" s="3833"/>
      <c r="N60" s="2953">
        <v>3</v>
      </c>
      <c r="O60" s="658">
        <f t="shared" si="5"/>
        <v>3</v>
      </c>
      <c r="P60" s="659">
        <f t="shared" si="28"/>
        <v>0.5</v>
      </c>
      <c r="Q60" s="2948"/>
      <c r="R60" s="2612">
        <f t="shared" si="6"/>
        <v>0</v>
      </c>
      <c r="S60" s="659">
        <f t="shared" si="29"/>
        <v>0</v>
      </c>
      <c r="T60" s="642"/>
      <c r="U60" s="567"/>
      <c r="V60" s="2621">
        <f>IF(採点Q1!F437="対象外",0,採点Q1!F437)</f>
        <v>3</v>
      </c>
      <c r="W60" s="2988"/>
      <c r="X60" s="2687"/>
      <c r="Y60" s="660">
        <f t="shared" ref="Y60:Y61" si="35">IF($Y$3=4,N60,V60)</f>
        <v>3</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2367</v>
      </c>
      <c r="F61" s="680"/>
      <c r="G61" s="2583" t="s">
        <v>3227</v>
      </c>
      <c r="H61" s="2586"/>
      <c r="I61" s="3831"/>
      <c r="J61" s="3832"/>
      <c r="K61" s="3832"/>
      <c r="L61" s="3832"/>
      <c r="M61" s="3833"/>
      <c r="N61" s="2949">
        <v>3</v>
      </c>
      <c r="O61" s="667">
        <f t="shared" si="5"/>
        <v>3</v>
      </c>
      <c r="P61" s="659">
        <f t="shared" si="28"/>
        <v>0.5</v>
      </c>
      <c r="Q61" s="2952"/>
      <c r="R61" s="2615">
        <f t="shared" si="6"/>
        <v>0</v>
      </c>
      <c r="S61" s="659">
        <f t="shared" si="29"/>
        <v>0</v>
      </c>
      <c r="T61" s="642"/>
      <c r="U61" s="567"/>
      <c r="V61" s="725">
        <f>IF(採点Q1!K437="対象外",0,採点Q1!K437)</f>
        <v>3</v>
      </c>
      <c r="W61" s="2988"/>
      <c r="X61" s="2687"/>
      <c r="Y61" s="660">
        <f t="shared" si="35"/>
        <v>3</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1931</v>
      </c>
      <c r="C62" s="708" t="s">
        <v>1932</v>
      </c>
      <c r="D62" s="709"/>
      <c r="E62" s="709"/>
      <c r="F62" s="710"/>
      <c r="G62" s="2578"/>
      <c r="H62" s="2578"/>
      <c r="I62" s="709"/>
      <c r="J62" s="709"/>
      <c r="K62" s="709"/>
      <c r="L62" s="709"/>
      <c r="M62" s="709"/>
      <c r="N62" s="714"/>
      <c r="O62" s="714">
        <f t="shared" si="5"/>
        <v>0</v>
      </c>
      <c r="P62" s="715">
        <f t="shared" si="28"/>
        <v>0.3</v>
      </c>
      <c r="Q62" s="716"/>
      <c r="R62" s="2958">
        <f t="shared" si="6"/>
        <v>0</v>
      </c>
      <c r="S62" s="717">
        <f t="shared" si="29"/>
        <v>0</v>
      </c>
      <c r="T62" s="718">
        <f>ROUNDDOWN(AC62,1)</f>
        <v>2.9</v>
      </c>
      <c r="U62" s="567"/>
      <c r="V62" s="2986"/>
      <c r="W62" s="2986"/>
      <c r="X62" s="2687"/>
      <c r="Y62" s="690"/>
      <c r="Z62" s="629">
        <f>重み!D62</f>
        <v>0.3</v>
      </c>
      <c r="AA62" s="690"/>
      <c r="AB62" s="629"/>
      <c r="AC62" s="3017">
        <f>AC63*Z63+AC78*Z78+AC100*Z100</f>
        <v>2.96</v>
      </c>
      <c r="AD62" s="2607"/>
      <c r="AE62" s="2609">
        <f>重み!M62</f>
        <v>0.3</v>
      </c>
      <c r="AF62" s="2608"/>
      <c r="AG62" s="2609">
        <f>重み!N62</f>
        <v>0</v>
      </c>
      <c r="AH62" s="2687"/>
      <c r="AI62" s="2361"/>
      <c r="AJ62" s="2361"/>
      <c r="AK62" s="2361"/>
      <c r="AL62" s="2361"/>
      <c r="AM62" s="2361"/>
      <c r="AN62" s="2361"/>
      <c r="AO62" s="2361"/>
      <c r="AP62" s="2361"/>
      <c r="AQ62" s="2361"/>
      <c r="AR62" s="2362"/>
      <c r="AS62" s="2363"/>
      <c r="AT62" s="2364">
        <f>P62</f>
        <v>0.3</v>
      </c>
      <c r="AU62" s="718">
        <f>ROUNDDOWN(AW62,1)</f>
        <v>3.8</v>
      </c>
      <c r="AV62" s="2329"/>
      <c r="AW62" s="2354">
        <f>SUMPRODUCT(AT63:AT111,AW63:AW111)</f>
        <v>3.8</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2368</v>
      </c>
      <c r="D63" s="720"/>
      <c r="E63" s="672"/>
      <c r="F63" s="635"/>
      <c r="G63" s="2577" t="s">
        <v>3215</v>
      </c>
      <c r="H63" s="2576"/>
      <c r="I63" s="636"/>
      <c r="J63" s="637"/>
      <c r="K63" s="637"/>
      <c r="L63" s="637"/>
      <c r="M63" s="638"/>
      <c r="N63" s="674">
        <f t="shared" ref="N63:N64" si="38">ROUNDDOWN(Y63,1)</f>
        <v>2.9</v>
      </c>
      <c r="O63" s="674">
        <f t="shared" si="5"/>
        <v>2.9</v>
      </c>
      <c r="P63" s="721">
        <f t="shared" si="28"/>
        <v>0.4</v>
      </c>
      <c r="Q63" s="2957">
        <f t="shared" ref="Q63:Q64" si="39">ROUNDDOWN(AA63,1)</f>
        <v>0</v>
      </c>
      <c r="R63" s="639">
        <f t="shared" si="6"/>
        <v>0</v>
      </c>
      <c r="S63" s="722">
        <f t="shared" si="29"/>
        <v>0</v>
      </c>
      <c r="T63" s="723">
        <f>ROUNDDOWN(AC63,1)</f>
        <v>2.9</v>
      </c>
      <c r="U63" s="567"/>
      <c r="V63" s="2984"/>
      <c r="W63" s="2984"/>
      <c r="X63" s="2687"/>
      <c r="Y63" s="2978">
        <f>Y64*Z64+Y68*Z68+Y74*Z74</f>
        <v>2.9</v>
      </c>
      <c r="Z63" s="2611">
        <f>重み!D63</f>
        <v>0.4</v>
      </c>
      <c r="AA63" s="2978">
        <f>AA64*AB64+AA68*AB68+AA74*AB74</f>
        <v>0</v>
      </c>
      <c r="AB63" s="644">
        <f>SUM(AB64,AB68,AB74)</f>
        <v>0</v>
      </c>
      <c r="AC63" s="2610">
        <f>IF(AA63=0,Y63,IF(Y63=0,AA63,Y63*AE$6+AA63*AG$6))</f>
        <v>2.9</v>
      </c>
      <c r="AD63" s="2607"/>
      <c r="AE63" s="2609">
        <f>重み!M63</f>
        <v>0.4</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0.4</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2369</v>
      </c>
      <c r="E64" s="679"/>
      <c r="F64" s="680"/>
      <c r="G64" s="2597"/>
      <c r="H64" s="2597"/>
      <c r="I64" s="650"/>
      <c r="J64" s="651"/>
      <c r="K64" s="651"/>
      <c r="L64" s="651"/>
      <c r="M64" s="3010"/>
      <c r="N64" s="695">
        <f t="shared" si="38"/>
        <v>3</v>
      </c>
      <c r="O64" s="695">
        <f t="shared" si="5"/>
        <v>3</v>
      </c>
      <c r="P64" s="640">
        <f t="shared" si="28"/>
        <v>0.4</v>
      </c>
      <c r="Q64" s="696">
        <f t="shared" si="39"/>
        <v>0</v>
      </c>
      <c r="R64" s="817">
        <f t="shared" si="6"/>
        <v>0</v>
      </c>
      <c r="S64" s="641">
        <f t="shared" si="29"/>
        <v>0</v>
      </c>
      <c r="T64" s="642"/>
      <c r="U64" s="567"/>
      <c r="V64" s="2987"/>
      <c r="W64" s="2987"/>
      <c r="X64" s="2687"/>
      <c r="Y64" s="643">
        <f>SUMPRODUCT(Y65:Y67,Z65:Z67)</f>
        <v>3</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2167</v>
      </c>
      <c r="F65" s="685"/>
      <c r="G65" s="2583" t="s">
        <v>3228</v>
      </c>
      <c r="H65" s="2575"/>
      <c r="I65" s="3831"/>
      <c r="J65" s="3832"/>
      <c r="K65" s="3832"/>
      <c r="L65" s="3832"/>
      <c r="M65" s="3833"/>
      <c r="N65" s="2948">
        <v>3</v>
      </c>
      <c r="O65" s="658">
        <f t="shared" si="5"/>
        <v>3</v>
      </c>
      <c r="P65" s="659">
        <f t="shared" si="28"/>
        <v>0.33333333333333331</v>
      </c>
      <c r="Q65" s="2948"/>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2168</v>
      </c>
      <c r="F66" s="685"/>
      <c r="G66" s="2583" t="s">
        <v>3229</v>
      </c>
      <c r="H66" s="2575"/>
      <c r="I66" s="3831"/>
      <c r="J66" s="3832"/>
      <c r="K66" s="3832"/>
      <c r="L66" s="3832"/>
      <c r="M66" s="3833"/>
      <c r="N66" s="2954">
        <v>3</v>
      </c>
      <c r="O66" s="667">
        <f t="shared" si="5"/>
        <v>3</v>
      </c>
      <c r="P66" s="659">
        <f t="shared" si="28"/>
        <v>0.33333333333333331</v>
      </c>
      <c r="Q66" s="2949"/>
      <c r="R66" s="667">
        <f t="shared" si="6"/>
        <v>3</v>
      </c>
      <c r="S66" s="659">
        <f t="shared" si="29"/>
        <v>0</v>
      </c>
      <c r="T66" s="642"/>
      <c r="U66" s="567"/>
      <c r="V66" s="2619">
        <f>IF(採点Q2!F18="対象外",0,採点Q2!F18)</f>
        <v>3</v>
      </c>
      <c r="W66" s="2620">
        <f>採点Q2!K18</f>
        <v>3</v>
      </c>
      <c r="Y66" s="660">
        <f t="shared" si="41"/>
        <v>3</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2169</v>
      </c>
      <c r="F67" s="685"/>
      <c r="G67" s="2583" t="s">
        <v>3229</v>
      </c>
      <c r="H67" s="2575"/>
      <c r="I67" s="3831"/>
      <c r="J67" s="3832"/>
      <c r="K67" s="3832"/>
      <c r="L67" s="3832"/>
      <c r="M67" s="3833"/>
      <c r="N67" s="2955">
        <v>3</v>
      </c>
      <c r="O67" s="663">
        <f t="shared" si="5"/>
        <v>3</v>
      </c>
      <c r="P67" s="659">
        <f t="shared" si="28"/>
        <v>0.33333333333333331</v>
      </c>
      <c r="Q67" s="2952"/>
      <c r="R67" s="663">
        <f t="shared" si="6"/>
        <v>0</v>
      </c>
      <c r="S67" s="659">
        <f t="shared" si="29"/>
        <v>0</v>
      </c>
      <c r="T67" s="642"/>
      <c r="U67" s="567"/>
      <c r="V67" s="2616">
        <f>IF(採点Q2!F27="対象外",0,採点Q2!F27)</f>
        <v>3</v>
      </c>
      <c r="W67" s="2989"/>
      <c r="Y67" s="660">
        <f t="shared" si="41"/>
        <v>3</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2639</v>
      </c>
      <c r="E68" s="679"/>
      <c r="F68" s="680"/>
      <c r="G68" s="2581"/>
      <c r="H68" s="2574"/>
      <c r="I68" s="636"/>
      <c r="J68" s="637"/>
      <c r="K68" s="637"/>
      <c r="L68" s="637"/>
      <c r="M68" s="638"/>
      <c r="N68" s="3015">
        <f>ROUNDDOWN(Y68,1)</f>
        <v>2.6</v>
      </c>
      <c r="O68" s="695">
        <f t="shared" si="5"/>
        <v>2.6</v>
      </c>
      <c r="P68" s="659">
        <f>Z68</f>
        <v>0.3</v>
      </c>
      <c r="Q68" s="696">
        <f>ROUNDDOWN(AA68,1)</f>
        <v>0</v>
      </c>
      <c r="R68" s="2230">
        <f t="shared" si="6"/>
        <v>0</v>
      </c>
      <c r="S68" s="641">
        <f t="shared" si="29"/>
        <v>0</v>
      </c>
      <c r="T68" s="642"/>
      <c r="U68" s="567"/>
      <c r="V68" s="2985"/>
      <c r="W68" s="2985"/>
      <c r="Y68" s="643">
        <f>SUMPRODUCT(Y69:Y73,Z69:Z73)</f>
        <v>2.6666666666666665</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845</v>
      </c>
      <c r="F69" s="2942" t="s">
        <v>3476</v>
      </c>
      <c r="G69" s="2583" t="s">
        <v>3229</v>
      </c>
      <c r="H69" s="2575"/>
      <c r="I69" s="3831"/>
      <c r="J69" s="3832"/>
      <c r="K69" s="3832"/>
      <c r="L69" s="3832"/>
      <c r="M69" s="3833"/>
      <c r="N69" s="2953">
        <v>3</v>
      </c>
      <c r="O69" s="658">
        <f t="shared" si="5"/>
        <v>3</v>
      </c>
      <c r="P69" s="659">
        <f t="shared" si="28"/>
        <v>0.33333333333333331</v>
      </c>
      <c r="Q69" s="2948"/>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44">
        <v>2</v>
      </c>
      <c r="E70" s="2943" t="s">
        <v>845</v>
      </c>
      <c r="F70" s="2942" t="s">
        <v>3477</v>
      </c>
      <c r="G70" s="2583"/>
      <c r="H70" s="2575"/>
      <c r="I70" s="3831"/>
      <c r="J70" s="3832"/>
      <c r="K70" s="3832"/>
      <c r="L70" s="3832"/>
      <c r="M70" s="3833"/>
      <c r="N70" s="2954">
        <v>3</v>
      </c>
      <c r="O70" s="2618">
        <f t="shared" si="5"/>
        <v>100</v>
      </c>
      <c r="P70" s="659">
        <f t="shared" si="28"/>
        <v>0</v>
      </c>
      <c r="Q70" s="2949"/>
      <c r="R70" s="2618">
        <f t="shared" si="6"/>
        <v>0</v>
      </c>
      <c r="S70" s="659"/>
      <c r="T70" s="642"/>
      <c r="U70" s="2607"/>
      <c r="V70" s="3003">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1933</v>
      </c>
      <c r="F71" s="685"/>
      <c r="G71" s="2583" t="s">
        <v>3229</v>
      </c>
      <c r="H71" s="2575"/>
      <c r="I71" s="3831"/>
      <c r="J71" s="3832"/>
      <c r="K71" s="3832"/>
      <c r="L71" s="3832"/>
      <c r="M71" s="3833"/>
      <c r="N71" s="2954">
        <v>3</v>
      </c>
      <c r="O71" s="2618">
        <f t="shared" si="5"/>
        <v>2</v>
      </c>
      <c r="P71" s="659">
        <f t="shared" si="28"/>
        <v>0.33333333333333331</v>
      </c>
      <c r="Q71" s="2949"/>
      <c r="R71" s="2618">
        <f t="shared" si="6"/>
        <v>0</v>
      </c>
      <c r="S71" s="659">
        <f t="shared" si="29"/>
        <v>0</v>
      </c>
      <c r="T71" s="642"/>
      <c r="U71" s="567"/>
      <c r="V71" s="2619">
        <f>IF(採点Q2!F46="対象外",0,採点Q2!F46)</f>
        <v>2</v>
      </c>
      <c r="W71" s="2620"/>
      <c r="Y71" s="660">
        <f t="shared" si="43"/>
        <v>2</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3229</v>
      </c>
      <c r="H72" s="2575"/>
      <c r="I72" s="3831"/>
      <c r="J72" s="3832"/>
      <c r="K72" s="3832"/>
      <c r="L72" s="3832"/>
      <c r="M72" s="3833"/>
      <c r="N72" s="2954">
        <v>3</v>
      </c>
      <c r="O72" s="2618">
        <f t="shared" si="5"/>
        <v>3</v>
      </c>
      <c r="P72" s="659">
        <f t="shared" si="28"/>
        <v>0.33333333333333331</v>
      </c>
      <c r="Q72" s="2949"/>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44">
        <v>5</v>
      </c>
      <c r="E73" s="2943" t="s">
        <v>3475</v>
      </c>
      <c r="F73" s="680"/>
      <c r="G73" s="2930"/>
      <c r="H73" s="2574"/>
      <c r="I73" s="3831"/>
      <c r="J73" s="3832"/>
      <c r="K73" s="3832"/>
      <c r="L73" s="3832"/>
      <c r="M73" s="3833"/>
      <c r="N73" s="2955">
        <v>3</v>
      </c>
      <c r="O73" s="2615">
        <f t="shared" si="5"/>
        <v>100</v>
      </c>
      <c r="P73" s="659">
        <f t="shared" si="28"/>
        <v>0</v>
      </c>
      <c r="Q73" s="2952"/>
      <c r="R73" s="2615">
        <f t="shared" si="6"/>
        <v>0</v>
      </c>
      <c r="S73" s="659"/>
      <c r="T73" s="642"/>
      <c r="U73" s="2607"/>
      <c r="V73" s="3004">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59">
        <f t="shared" si="6"/>
        <v>0</v>
      </c>
      <c r="S74" s="659">
        <f t="shared" ref="S74" si="45">AB74</f>
        <v>0</v>
      </c>
      <c r="T74" s="642"/>
      <c r="U74" s="567"/>
      <c r="V74" s="2986"/>
      <c r="W74" s="2986"/>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3229</v>
      </c>
      <c r="H75" s="2575"/>
      <c r="I75" s="3831"/>
      <c r="J75" s="3832"/>
      <c r="K75" s="3832"/>
      <c r="L75" s="3832"/>
      <c r="M75" s="3833"/>
      <c r="N75" s="2948">
        <v>3</v>
      </c>
      <c r="O75" s="658">
        <f t="shared" ref="O75:O138" si="46">ROUNDDOWN(Y75,1)</f>
        <v>3</v>
      </c>
      <c r="P75" s="659">
        <f t="shared" si="28"/>
        <v>0.5</v>
      </c>
      <c r="Q75" s="2948"/>
      <c r="R75" s="658">
        <f t="shared" ref="R75:R138" si="47">ROUNDDOWN(AA75,1)</f>
        <v>0</v>
      </c>
      <c r="S75" s="659">
        <f t="shared" si="29"/>
        <v>0</v>
      </c>
      <c r="T75" s="642"/>
      <c r="U75" s="567"/>
      <c r="V75" s="2621">
        <f>IF(採点Q2!F73="対象外",0,採点Q2!F73)</f>
        <v>3</v>
      </c>
      <c r="W75" s="2984"/>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3229</v>
      </c>
      <c r="H76" s="2575"/>
      <c r="I76" s="3831"/>
      <c r="J76" s="3832"/>
      <c r="K76" s="3832"/>
      <c r="L76" s="3832"/>
      <c r="M76" s="3833"/>
      <c r="N76" s="2949">
        <v>0</v>
      </c>
      <c r="O76" s="667">
        <f t="shared" si="46"/>
        <v>3</v>
      </c>
      <c r="P76" s="659">
        <f t="shared" si="28"/>
        <v>0.5</v>
      </c>
      <c r="Q76" s="2949"/>
      <c r="R76" s="667">
        <f t="shared" si="47"/>
        <v>0</v>
      </c>
      <c r="S76" s="659">
        <f t="shared" si="29"/>
        <v>0</v>
      </c>
      <c r="T76" s="642"/>
      <c r="U76" s="567"/>
      <c r="V76" s="725">
        <f>IF(採点Q2!F117="対象外",0,採点Q2!F117)</f>
        <v>3</v>
      </c>
      <c r="W76" s="2984"/>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831"/>
      <c r="J77" s="3832"/>
      <c r="K77" s="3832"/>
      <c r="L77" s="3832"/>
      <c r="M77" s="3833"/>
      <c r="N77" s="2952">
        <v>0</v>
      </c>
      <c r="O77" s="663">
        <f t="shared" si="46"/>
        <v>0</v>
      </c>
      <c r="P77" s="659">
        <f t="shared" si="28"/>
        <v>0</v>
      </c>
      <c r="Q77" s="2615"/>
      <c r="R77" s="663">
        <f t="shared" si="47"/>
        <v>0</v>
      </c>
      <c r="S77" s="659">
        <f t="shared" si="29"/>
        <v>0</v>
      </c>
      <c r="T77" s="642"/>
      <c r="U77" s="567"/>
      <c r="V77" s="2622">
        <f>採点Q2!F170</f>
        <v>0</v>
      </c>
      <c r="W77" s="2984"/>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3230</v>
      </c>
      <c r="H78" s="2573" t="s">
        <v>3231</v>
      </c>
      <c r="I78" s="650"/>
      <c r="J78" s="651"/>
      <c r="K78" s="651"/>
      <c r="L78" s="651"/>
      <c r="M78" s="3010"/>
      <c r="N78" s="2221">
        <f t="shared" ref="N78:N79" si="52">ROUNDDOWN(Y78,1)</f>
        <v>3</v>
      </c>
      <c r="O78" s="2221">
        <f t="shared" si="46"/>
        <v>3</v>
      </c>
      <c r="P78" s="675">
        <f t="shared" si="28"/>
        <v>0.3</v>
      </c>
      <c r="Q78" s="2960">
        <f t="shared" ref="Q78:Q79" si="53">ROUNDDOWN(AA78,1)</f>
        <v>0</v>
      </c>
      <c r="R78" s="2221">
        <f t="shared" si="47"/>
        <v>0</v>
      </c>
      <c r="S78" s="676">
        <f t="shared" si="29"/>
        <v>0</v>
      </c>
      <c r="T78" s="677">
        <f>ROUNDDOWN(AC78,1)</f>
        <v>3</v>
      </c>
      <c r="U78" s="567"/>
      <c r="V78" s="2986"/>
      <c r="W78" s="2984"/>
      <c r="Y78" s="2978">
        <f>Y79*Z79+Y82*Z82+Y89*Z89+Y93*Z93</f>
        <v>3.0000000000000004</v>
      </c>
      <c r="Z78" s="2611">
        <f>重み!D78</f>
        <v>0.3</v>
      </c>
      <c r="AA78" s="2978">
        <f>AA79*AB79+AA82*AB82+AA89*AB89+AA93*AB93</f>
        <v>0</v>
      </c>
      <c r="AB78" s="644">
        <f>SUM(AB79,AB82,AB89,AB93)</f>
        <v>0</v>
      </c>
      <c r="AC78" s="617">
        <f>IF(AA78=0,Y78,IF(Y78=0,AA78,Y78*AE$6+AA78*AG$6))</f>
        <v>3.0000000000000004</v>
      </c>
      <c r="AD78" s="567"/>
      <c r="AE78" s="596">
        <f>重み!M78</f>
        <v>0.3</v>
      </c>
      <c r="AF78" s="581"/>
      <c r="AG78" s="644">
        <f>SUM(AG79,AG82,AG89,AG93)</f>
        <v>0</v>
      </c>
      <c r="AI78" s="2358">
        <v>3</v>
      </c>
      <c r="AJ78" s="2358"/>
      <c r="AK78" s="2358"/>
      <c r="AL78" s="2358"/>
      <c r="AM78" s="2358"/>
      <c r="AN78" s="2358">
        <v>4</v>
      </c>
      <c r="AO78" s="2358"/>
      <c r="AP78" s="2358"/>
      <c r="AQ78" s="2358"/>
      <c r="AR78" s="2358"/>
      <c r="AS78" s="2355">
        <f t="shared" si="40"/>
        <v>3</v>
      </c>
      <c r="AT78" s="810">
        <f>P78</f>
        <v>0.3</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3377</v>
      </c>
      <c r="E79" s="679"/>
      <c r="F79" s="680"/>
      <c r="G79" s="2572"/>
      <c r="H79" s="2572"/>
      <c r="I79" s="650"/>
      <c r="J79" s="651"/>
      <c r="K79" s="651"/>
      <c r="L79" s="651"/>
      <c r="M79" s="3010"/>
      <c r="N79" s="695">
        <f t="shared" si="52"/>
        <v>3</v>
      </c>
      <c r="O79" s="695">
        <f t="shared" si="46"/>
        <v>3</v>
      </c>
      <c r="P79" s="640">
        <f t="shared" si="28"/>
        <v>0.5</v>
      </c>
      <c r="Q79" s="2779">
        <f t="shared" si="53"/>
        <v>0</v>
      </c>
      <c r="R79" s="2790">
        <f t="shared" si="47"/>
        <v>0</v>
      </c>
      <c r="S79" s="641">
        <f t="shared" si="29"/>
        <v>0</v>
      </c>
      <c r="T79" s="642"/>
      <c r="U79" s="567"/>
      <c r="V79" s="727"/>
      <c r="W79" s="2984"/>
      <c r="Y79" s="643">
        <f>SUMPRODUCT(Y80:Y81,Z80:Z81)</f>
        <v>3.0000000000000004</v>
      </c>
      <c r="Z79" s="2611">
        <f>重み!D79</f>
        <v>0.5</v>
      </c>
      <c r="AA79" s="643">
        <f>SUMPRODUCT(AA80:AA81,AB80:AB81)</f>
        <v>0</v>
      </c>
      <c r="AB79" s="2611">
        <f>重み!E79</f>
        <v>0</v>
      </c>
      <c r="AC79" s="617"/>
      <c r="AD79" s="567"/>
      <c r="AE79" s="596">
        <f>重み!M79</f>
        <v>0.5</v>
      </c>
      <c r="AF79" s="581"/>
      <c r="AG79" s="596">
        <f>重み!N79</f>
        <v>0</v>
      </c>
      <c r="AW79"/>
      <c r="AX79"/>
      <c r="AY79"/>
    </row>
    <row r="80" spans="2:61" ht="14.25" customHeight="1">
      <c r="B80" s="694"/>
      <c r="C80" s="684"/>
      <c r="D80" s="656">
        <v>1</v>
      </c>
      <c r="E80" s="648" t="s">
        <v>3380</v>
      </c>
      <c r="F80" s="685"/>
      <c r="G80" s="2571" t="s">
        <v>3232</v>
      </c>
      <c r="H80" s="2571" t="s">
        <v>3232</v>
      </c>
      <c r="I80" s="3831"/>
      <c r="J80" s="3832"/>
      <c r="K80" s="3832"/>
      <c r="L80" s="3832"/>
      <c r="M80" s="3833"/>
      <c r="N80" s="2948">
        <v>3</v>
      </c>
      <c r="O80" s="658">
        <f t="shared" si="46"/>
        <v>3</v>
      </c>
      <c r="P80" s="728">
        <f t="shared" ref="P80:P109" si="55">Z80</f>
        <v>0.8</v>
      </c>
      <c r="Q80" s="2780"/>
      <c r="R80" s="2788">
        <f t="shared" si="47"/>
        <v>0</v>
      </c>
      <c r="S80" s="641">
        <f t="shared" ref="S80:S109" si="56">AB80</f>
        <v>0</v>
      </c>
      <c r="T80" s="642"/>
      <c r="U80" s="567"/>
      <c r="V80" s="725">
        <f>IF(採点Q2!F194="対象外",0,採点Q2!F194)</f>
        <v>3</v>
      </c>
      <c r="W80" s="2984"/>
      <c r="Y80" s="660">
        <f t="shared" ref="Y80:Y81" si="57">IF($Y$3=4,N80,V80)</f>
        <v>3</v>
      </c>
      <c r="Z80" s="2611">
        <f>重み!D80</f>
        <v>0.8</v>
      </c>
      <c r="AA80" s="660">
        <f t="shared" ref="AA80:AA81" si="58">IF($Y$3=4,Q80,W80)</f>
        <v>0</v>
      </c>
      <c r="AB80" s="2611">
        <f>重み!E80</f>
        <v>0</v>
      </c>
      <c r="AC80" s="2610"/>
      <c r="AD80" s="567"/>
      <c r="AE80" s="596">
        <f>重み!M80</f>
        <v>0.8</v>
      </c>
      <c r="AF80" s="581"/>
      <c r="AG80" s="596">
        <f>重み!N80</f>
        <v>0</v>
      </c>
      <c r="AW80"/>
      <c r="AX80"/>
      <c r="AY80"/>
    </row>
    <row r="81" spans="2:51" ht="14.25" customHeight="1" thickBot="1">
      <c r="B81" s="694"/>
      <c r="C81" s="693"/>
      <c r="D81" s="656">
        <v>2</v>
      </c>
      <c r="E81" s="648" t="s">
        <v>3379</v>
      </c>
      <c r="F81" s="685"/>
      <c r="G81" s="2571" t="s">
        <v>3232</v>
      </c>
      <c r="H81" s="2571" t="s">
        <v>3232</v>
      </c>
      <c r="I81" s="3831"/>
      <c r="J81" s="3832"/>
      <c r="K81" s="3832"/>
      <c r="L81" s="3832"/>
      <c r="M81" s="3833"/>
      <c r="N81" s="2952">
        <v>3</v>
      </c>
      <c r="O81" s="663">
        <f t="shared" si="46"/>
        <v>3</v>
      </c>
      <c r="P81" s="728">
        <f t="shared" si="55"/>
        <v>0.2</v>
      </c>
      <c r="Q81" s="2780"/>
      <c r="R81" s="2788">
        <f t="shared" si="47"/>
        <v>0</v>
      </c>
      <c r="S81" s="641">
        <f t="shared" si="56"/>
        <v>0</v>
      </c>
      <c r="T81" s="642"/>
      <c r="U81" s="567"/>
      <c r="V81" s="725">
        <f>IF(採点Q2!K194="対象外",0,採点Q2!K194)</f>
        <v>3</v>
      </c>
      <c r="W81" s="2984"/>
      <c r="Y81" s="660">
        <f t="shared" si="57"/>
        <v>3</v>
      </c>
      <c r="Z81" s="2611">
        <f>重み!D81</f>
        <v>0.2</v>
      </c>
      <c r="AA81" s="660">
        <f t="shared" si="58"/>
        <v>0</v>
      </c>
      <c r="AB81" s="2611">
        <f>重み!E81</f>
        <v>0</v>
      </c>
      <c r="AC81" s="2610"/>
      <c r="AD81" s="567"/>
      <c r="AE81" s="596">
        <f>重み!M81</f>
        <v>0.2</v>
      </c>
      <c r="AF81" s="581"/>
      <c r="AG81" s="596">
        <f>重み!N81</f>
        <v>0</v>
      </c>
      <c r="AW81"/>
      <c r="AX81"/>
      <c r="AY81"/>
    </row>
    <row r="82" spans="2:51" ht="14.25" customHeight="1" thickBot="1">
      <c r="B82" s="694"/>
      <c r="C82" s="664">
        <v>2.2000000000000002</v>
      </c>
      <c r="D82" s="678" t="s">
        <v>2216</v>
      </c>
      <c r="E82" s="679"/>
      <c r="F82" s="680"/>
      <c r="G82" s="2572"/>
      <c r="H82" s="2572"/>
      <c r="I82" s="636"/>
      <c r="J82" s="637"/>
      <c r="K82" s="637"/>
      <c r="L82" s="637"/>
      <c r="M82" s="638"/>
      <c r="N82" s="695">
        <f>ROUNDDOWN(Y82,1)</f>
        <v>3</v>
      </c>
      <c r="O82" s="695">
        <f t="shared" si="46"/>
        <v>3</v>
      </c>
      <c r="P82" s="640">
        <f>Z82</f>
        <v>0.3</v>
      </c>
      <c r="Q82" s="2779">
        <f>ROUNDDOWN(AA82,1)</f>
        <v>0</v>
      </c>
      <c r="R82" s="2790">
        <f t="shared" si="47"/>
        <v>0</v>
      </c>
      <c r="S82" s="641">
        <f t="shared" si="56"/>
        <v>0</v>
      </c>
      <c r="T82" s="642"/>
      <c r="U82" s="567"/>
      <c r="V82" s="730"/>
      <c r="W82" s="2984"/>
      <c r="Y82" s="643">
        <f>SUMPRODUCT(Y83:Y88,Z83:Z88)</f>
        <v>3.0000000000000004</v>
      </c>
      <c r="Z82" s="2611">
        <f>重み!D82</f>
        <v>0.3</v>
      </c>
      <c r="AA82" s="643">
        <f>SUMPRODUCT(AA83:AA88,AB83:AB88)</f>
        <v>0</v>
      </c>
      <c r="AB82" s="2611">
        <f>重み!E82</f>
        <v>0</v>
      </c>
      <c r="AC82" s="617"/>
      <c r="AD82" s="567"/>
      <c r="AE82" s="596">
        <f>重み!M82</f>
        <v>0.3</v>
      </c>
      <c r="AF82" s="581"/>
      <c r="AG82" s="596">
        <f>重み!N82</f>
        <v>0</v>
      </c>
      <c r="AW82"/>
      <c r="AX82"/>
      <c r="AY82"/>
    </row>
    <row r="83" spans="2:51" ht="14.25" customHeight="1">
      <c r="B83" s="694"/>
      <c r="C83" s="684"/>
      <c r="D83" s="656">
        <v>1</v>
      </c>
      <c r="E83" s="648" t="s">
        <v>786</v>
      </c>
      <c r="F83" s="685"/>
      <c r="G83" s="2571" t="s">
        <v>3233</v>
      </c>
      <c r="H83" s="2571" t="s">
        <v>3233</v>
      </c>
      <c r="I83" s="3831"/>
      <c r="J83" s="3832"/>
      <c r="K83" s="3832"/>
      <c r="L83" s="3832"/>
      <c r="M83" s="3833"/>
      <c r="N83" s="2948">
        <v>0</v>
      </c>
      <c r="O83" s="658">
        <f t="shared" si="46"/>
        <v>3</v>
      </c>
      <c r="P83" s="728">
        <f t="shared" si="55"/>
        <v>0.2</v>
      </c>
      <c r="Q83" s="2780"/>
      <c r="R83" s="2788">
        <f t="shared" si="47"/>
        <v>0</v>
      </c>
      <c r="S83" s="641">
        <f t="shared" si="56"/>
        <v>0</v>
      </c>
      <c r="T83" s="642"/>
      <c r="U83" s="567"/>
      <c r="V83" s="2621">
        <f>IF(採点Q2!F204="対象外",0,採点Q2!F204)</f>
        <v>3</v>
      </c>
      <c r="W83" s="2984"/>
      <c r="Y83" s="660">
        <f t="shared" ref="Y83:Y88" si="59">IF($Y$3=4,N83,V83)</f>
        <v>3</v>
      </c>
      <c r="Z83" s="2611">
        <f>重み!D83</f>
        <v>0.2</v>
      </c>
      <c r="AA83" s="660">
        <f t="shared" ref="AA83:AA88" si="60">IF($Y$3=4,Q83,W83)</f>
        <v>0</v>
      </c>
      <c r="AB83" s="2611">
        <f>重み!E83</f>
        <v>0</v>
      </c>
      <c r="AC83" s="2610"/>
      <c r="AD83" s="567"/>
      <c r="AE83" s="596">
        <f>重み!M83</f>
        <v>0.2</v>
      </c>
      <c r="AF83" s="581"/>
      <c r="AG83" s="596">
        <f>重み!N83</f>
        <v>0</v>
      </c>
      <c r="AW83"/>
      <c r="AX83"/>
      <c r="AY83"/>
    </row>
    <row r="84" spans="2:51" ht="14.25" customHeight="1">
      <c r="B84" s="694"/>
      <c r="C84" s="684"/>
      <c r="D84" s="656">
        <v>2</v>
      </c>
      <c r="E84" s="648" t="s">
        <v>787</v>
      </c>
      <c r="F84" s="685"/>
      <c r="G84" s="2571" t="s">
        <v>3233</v>
      </c>
      <c r="H84" s="2571" t="s">
        <v>3233</v>
      </c>
      <c r="I84" s="3831"/>
      <c r="J84" s="3832"/>
      <c r="K84" s="3832"/>
      <c r="L84" s="3832"/>
      <c r="M84" s="3833"/>
      <c r="N84" s="2949">
        <v>0</v>
      </c>
      <c r="O84" s="667">
        <f t="shared" si="46"/>
        <v>3</v>
      </c>
      <c r="P84" s="728">
        <f t="shared" si="55"/>
        <v>0.2</v>
      </c>
      <c r="Q84" s="2780"/>
      <c r="R84" s="2788">
        <f t="shared" si="47"/>
        <v>0</v>
      </c>
      <c r="S84" s="641">
        <f t="shared" si="56"/>
        <v>0</v>
      </c>
      <c r="T84" s="642"/>
      <c r="U84" s="567"/>
      <c r="V84" s="725">
        <f>IF(採点Q2!K204="対象外",0,採点Q2!K204)</f>
        <v>3</v>
      </c>
      <c r="W84" s="2984"/>
      <c r="Y84" s="660">
        <f t="shared" si="59"/>
        <v>3</v>
      </c>
      <c r="Z84" s="2611">
        <f>重み!D84</f>
        <v>0.2</v>
      </c>
      <c r="AA84" s="660">
        <f t="shared" si="60"/>
        <v>0</v>
      </c>
      <c r="AB84" s="2611">
        <f>重み!E84</f>
        <v>0</v>
      </c>
      <c r="AC84" s="2610"/>
      <c r="AD84" s="567"/>
      <c r="AE84" s="596">
        <f>重み!M84</f>
        <v>0.2</v>
      </c>
      <c r="AF84" s="581"/>
      <c r="AG84" s="596">
        <f>重み!N84</f>
        <v>0</v>
      </c>
      <c r="AW84"/>
      <c r="AX84"/>
      <c r="AY84"/>
    </row>
    <row r="85" spans="2:51" ht="14.25" customHeight="1">
      <c r="B85" s="694"/>
      <c r="C85" s="684"/>
      <c r="D85" s="656">
        <v>3</v>
      </c>
      <c r="E85" s="3847" t="s">
        <v>788</v>
      </c>
      <c r="F85" s="3848"/>
      <c r="G85" s="2571" t="s">
        <v>3233</v>
      </c>
      <c r="H85" s="2571" t="s">
        <v>3233</v>
      </c>
      <c r="I85" s="3831"/>
      <c r="J85" s="3832"/>
      <c r="K85" s="3832"/>
      <c r="L85" s="3832"/>
      <c r="M85" s="3833"/>
      <c r="N85" s="2949">
        <v>0</v>
      </c>
      <c r="O85" s="667">
        <f t="shared" si="46"/>
        <v>3</v>
      </c>
      <c r="P85" s="728">
        <f t="shared" si="55"/>
        <v>0.1</v>
      </c>
      <c r="Q85" s="2780"/>
      <c r="R85" s="2788">
        <f t="shared" si="47"/>
        <v>0</v>
      </c>
      <c r="S85" s="641">
        <f t="shared" si="56"/>
        <v>0</v>
      </c>
      <c r="T85" s="642"/>
      <c r="U85" s="567"/>
      <c r="V85" s="725">
        <f>IF(採点Q2!F213="対象外",0,採点Q2!F213)</f>
        <v>3</v>
      </c>
      <c r="W85" s="2984"/>
      <c r="Y85" s="660">
        <f t="shared" si="59"/>
        <v>3</v>
      </c>
      <c r="Z85" s="2611">
        <f>重み!D85</f>
        <v>0.1</v>
      </c>
      <c r="AA85" s="660">
        <f t="shared" si="60"/>
        <v>0</v>
      </c>
      <c r="AB85" s="2611">
        <f>重み!E85</f>
        <v>0</v>
      </c>
      <c r="AC85" s="2610"/>
      <c r="AD85" s="567"/>
      <c r="AE85" s="596">
        <f>重み!M85</f>
        <v>0.1</v>
      </c>
      <c r="AF85" s="581"/>
      <c r="AG85" s="596">
        <f>重み!N85</f>
        <v>0</v>
      </c>
      <c r="AW85"/>
      <c r="AX85"/>
      <c r="AY85"/>
    </row>
    <row r="86" spans="2:51" ht="14.25" customHeight="1">
      <c r="B86" s="694"/>
      <c r="C86" s="684"/>
      <c r="D86" s="656">
        <v>4</v>
      </c>
      <c r="E86" s="648" t="s">
        <v>789</v>
      </c>
      <c r="F86" s="685"/>
      <c r="G86" s="2571" t="s">
        <v>3233</v>
      </c>
      <c r="H86" s="2571" t="s">
        <v>3233</v>
      </c>
      <c r="I86" s="3831"/>
      <c r="J86" s="3832"/>
      <c r="K86" s="3832"/>
      <c r="L86" s="3832"/>
      <c r="M86" s="3833"/>
      <c r="N86" s="2949">
        <v>0</v>
      </c>
      <c r="O86" s="667">
        <f t="shared" si="46"/>
        <v>3</v>
      </c>
      <c r="P86" s="728">
        <f t="shared" si="55"/>
        <v>0.1</v>
      </c>
      <c r="Q86" s="2780"/>
      <c r="R86" s="2788">
        <f t="shared" si="47"/>
        <v>0</v>
      </c>
      <c r="S86" s="641">
        <f t="shared" si="56"/>
        <v>0</v>
      </c>
      <c r="T86" s="642"/>
      <c r="U86" s="567"/>
      <c r="V86" s="725">
        <f>IF(採点Q2!K213="対象外",0,採点Q2!K213)</f>
        <v>3</v>
      </c>
      <c r="W86" s="2984"/>
      <c r="Y86" s="660">
        <f t="shared" si="59"/>
        <v>3</v>
      </c>
      <c r="Z86" s="2611">
        <f>重み!D86</f>
        <v>0.1</v>
      </c>
      <c r="AA86" s="660">
        <f t="shared" si="60"/>
        <v>0</v>
      </c>
      <c r="AB86" s="2611">
        <f>重み!E86</f>
        <v>0</v>
      </c>
      <c r="AC86" s="2610"/>
      <c r="AD86" s="567"/>
      <c r="AE86" s="596">
        <f>重み!M86</f>
        <v>0.1</v>
      </c>
      <c r="AF86" s="581"/>
      <c r="AG86" s="596">
        <f>重み!N86</f>
        <v>0</v>
      </c>
      <c r="AW86"/>
      <c r="AX86"/>
      <c r="AY86"/>
    </row>
    <row r="87" spans="2:51" ht="14.25" customHeight="1">
      <c r="B87" s="694"/>
      <c r="C87" s="684"/>
      <c r="D87" s="656">
        <v>5</v>
      </c>
      <c r="E87" s="3847" t="s">
        <v>790</v>
      </c>
      <c r="F87" s="3848"/>
      <c r="G87" s="2571" t="s">
        <v>3233</v>
      </c>
      <c r="H87" s="2571" t="s">
        <v>3233</v>
      </c>
      <c r="I87" s="3831"/>
      <c r="J87" s="3832"/>
      <c r="K87" s="3832"/>
      <c r="L87" s="3832"/>
      <c r="M87" s="3833"/>
      <c r="N87" s="2949">
        <v>0</v>
      </c>
      <c r="O87" s="667">
        <f t="shared" si="46"/>
        <v>3</v>
      </c>
      <c r="P87" s="728">
        <f t="shared" si="55"/>
        <v>0.2</v>
      </c>
      <c r="Q87" s="2780"/>
      <c r="R87" s="2788">
        <f t="shared" si="47"/>
        <v>0</v>
      </c>
      <c r="S87" s="641">
        <f t="shared" si="56"/>
        <v>0</v>
      </c>
      <c r="T87" s="642"/>
      <c r="U87" s="567"/>
      <c r="V87" s="725">
        <f>IF(採点Q2!F222="対象外",0,採点Q2!F222)</f>
        <v>3</v>
      </c>
      <c r="W87" s="2984"/>
      <c r="Y87" s="660">
        <f t="shared" si="59"/>
        <v>3</v>
      </c>
      <c r="Z87" s="2611">
        <f>重み!D87</f>
        <v>0.2</v>
      </c>
      <c r="AA87" s="660">
        <f t="shared" si="60"/>
        <v>0</v>
      </c>
      <c r="AB87" s="2611">
        <f>重み!E87</f>
        <v>0</v>
      </c>
      <c r="AC87" s="2610"/>
      <c r="AD87" s="567"/>
      <c r="AE87" s="596">
        <f>重み!M87</f>
        <v>0.2</v>
      </c>
      <c r="AF87" s="581"/>
      <c r="AG87" s="596">
        <f>重み!N87</f>
        <v>0</v>
      </c>
      <c r="AW87"/>
      <c r="AX87"/>
      <c r="AY87"/>
    </row>
    <row r="88" spans="2:51" ht="14.25" customHeight="1" thickBot="1">
      <c r="B88" s="694"/>
      <c r="C88" s="693"/>
      <c r="D88" s="656">
        <v>6</v>
      </c>
      <c r="E88" s="648" t="s">
        <v>791</v>
      </c>
      <c r="F88" s="685"/>
      <c r="G88" s="2570" t="s">
        <v>3233</v>
      </c>
      <c r="H88" s="2570" t="s">
        <v>3233</v>
      </c>
      <c r="I88" s="3831"/>
      <c r="J88" s="3832"/>
      <c r="K88" s="3832"/>
      <c r="L88" s="3832"/>
      <c r="M88" s="3833"/>
      <c r="N88" s="2952">
        <v>0</v>
      </c>
      <c r="O88" s="663">
        <f t="shared" si="46"/>
        <v>3</v>
      </c>
      <c r="P88" s="732">
        <f t="shared" si="55"/>
        <v>0.2</v>
      </c>
      <c r="Q88" s="2781"/>
      <c r="R88" s="2783">
        <f t="shared" si="47"/>
        <v>0</v>
      </c>
      <c r="S88" s="722">
        <f t="shared" si="56"/>
        <v>0</v>
      </c>
      <c r="T88" s="723"/>
      <c r="U88" s="567"/>
      <c r="V88" s="2622">
        <f>IF(採点Q2!K222="対象外",0,採点Q2!K222)</f>
        <v>3</v>
      </c>
      <c r="W88" s="2984"/>
      <c r="Y88" s="660">
        <f t="shared" si="59"/>
        <v>3</v>
      </c>
      <c r="Z88" s="2611">
        <f>重み!D88</f>
        <v>0.2</v>
      </c>
      <c r="AA88" s="660">
        <f t="shared" si="60"/>
        <v>0</v>
      </c>
      <c r="AB88" s="2611">
        <f>重み!E88</f>
        <v>0</v>
      </c>
      <c r="AC88" s="2610"/>
      <c r="AD88" s="567"/>
      <c r="AE88" s="596">
        <f>重み!M88</f>
        <v>0.2</v>
      </c>
      <c r="AF88" s="581"/>
      <c r="AG88" s="596">
        <f>重み!N88</f>
        <v>0</v>
      </c>
      <c r="AW88"/>
      <c r="AX88"/>
      <c r="AY88"/>
    </row>
    <row r="89" spans="2:51" ht="14.25" hidden="1" customHeight="1" thickBot="1">
      <c r="B89" s="694"/>
      <c r="C89" s="2642">
        <v>2.2999999999999998</v>
      </c>
      <c r="D89" s="2643" t="s">
        <v>792</v>
      </c>
      <c r="E89" s="2644"/>
      <c r="F89" s="2645"/>
      <c r="G89" s="2569"/>
      <c r="H89" s="2569"/>
      <c r="I89" s="650"/>
      <c r="J89" s="651"/>
      <c r="K89" s="651"/>
      <c r="L89" s="651"/>
      <c r="M89" s="3010"/>
      <c r="N89" s="695">
        <f>ROUNDDOWN(Y89,1)</f>
        <v>0</v>
      </c>
      <c r="O89" s="695">
        <f t="shared" si="46"/>
        <v>0</v>
      </c>
      <c r="P89" s="681">
        <f>Z89</f>
        <v>0</v>
      </c>
      <c r="Q89" s="2782">
        <f>ROUNDDOWN(AA89,1)</f>
        <v>0</v>
      </c>
      <c r="R89" s="2963">
        <f t="shared" si="47"/>
        <v>0</v>
      </c>
      <c r="S89" s="683">
        <f t="shared" si="56"/>
        <v>0</v>
      </c>
      <c r="T89" s="654"/>
      <c r="U89" s="567"/>
      <c r="V89" s="730"/>
      <c r="W89" s="2984"/>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831"/>
      <c r="J90" s="3832"/>
      <c r="K90" s="3832"/>
      <c r="L90" s="3832"/>
      <c r="M90" s="3833"/>
      <c r="N90" s="2948">
        <v>0</v>
      </c>
      <c r="O90" s="658">
        <f t="shared" si="46"/>
        <v>3</v>
      </c>
      <c r="P90" s="728">
        <f t="shared" si="55"/>
        <v>0</v>
      </c>
      <c r="Q90" s="2780"/>
      <c r="R90" s="2788">
        <f t="shared" si="47"/>
        <v>0</v>
      </c>
      <c r="S90" s="641">
        <f t="shared" si="56"/>
        <v>0</v>
      </c>
      <c r="T90" s="642"/>
      <c r="U90" s="567"/>
      <c r="V90" s="2621">
        <f>採点Q2!F232</f>
        <v>3</v>
      </c>
      <c r="W90" s="2984"/>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831"/>
      <c r="J91" s="3832"/>
      <c r="K91" s="3832"/>
      <c r="L91" s="3832"/>
      <c r="M91" s="3833"/>
      <c r="N91" s="2949">
        <v>0</v>
      </c>
      <c r="O91" s="667">
        <f t="shared" si="46"/>
        <v>3</v>
      </c>
      <c r="P91" s="728">
        <f t="shared" si="55"/>
        <v>0</v>
      </c>
      <c r="Q91" s="2780"/>
      <c r="R91" s="2788">
        <f t="shared" si="47"/>
        <v>0</v>
      </c>
      <c r="S91" s="641">
        <f t="shared" si="56"/>
        <v>0</v>
      </c>
      <c r="T91" s="642"/>
      <c r="U91" s="567"/>
      <c r="V91" s="725">
        <f>採点Q2!K232</f>
        <v>3</v>
      </c>
      <c r="W91" s="2984"/>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831"/>
      <c r="J92" s="3832"/>
      <c r="K92" s="3832"/>
      <c r="L92" s="3832"/>
      <c r="M92" s="3833"/>
      <c r="N92" s="2952">
        <v>0</v>
      </c>
      <c r="O92" s="663">
        <f t="shared" si="46"/>
        <v>3</v>
      </c>
      <c r="P92" s="728">
        <f t="shared" si="55"/>
        <v>0</v>
      </c>
      <c r="Q92" s="2780"/>
      <c r="R92" s="2788">
        <f t="shared" si="47"/>
        <v>0</v>
      </c>
      <c r="S92" s="641">
        <f t="shared" si="56"/>
        <v>0</v>
      </c>
      <c r="T92" s="642"/>
      <c r="U92" s="567"/>
      <c r="V92" s="2622">
        <f>採点Q2!F241</f>
        <v>3</v>
      </c>
      <c r="W92" s="2984"/>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0.2</v>
      </c>
      <c r="Q93" s="2779">
        <f>ROUNDDOWN(AA93,1)</f>
        <v>0</v>
      </c>
      <c r="R93" s="2790">
        <f t="shared" si="47"/>
        <v>0</v>
      </c>
      <c r="S93" s="641">
        <f t="shared" si="56"/>
        <v>0</v>
      </c>
      <c r="T93" s="642"/>
      <c r="U93" s="567"/>
      <c r="V93" s="2984"/>
      <c r="W93" s="2984"/>
      <c r="Y93" s="643">
        <f>SUMPRODUCT(Y94:Y98,Z94:Z98)</f>
        <v>3.0000000000000004</v>
      </c>
      <c r="Z93" s="2611">
        <f>重み!D93</f>
        <v>0.2</v>
      </c>
      <c r="AA93" s="643">
        <f>SUMPRODUCT(AA94:AA98,AB94:AB98)</f>
        <v>0</v>
      </c>
      <c r="AB93" s="2611">
        <f>重み!E93</f>
        <v>0</v>
      </c>
      <c r="AC93" s="617"/>
      <c r="AD93" s="567"/>
      <c r="AE93" s="596">
        <f>重み!M93</f>
        <v>0.2</v>
      </c>
      <c r="AF93" s="581"/>
      <c r="AG93" s="596">
        <f>重み!N93</f>
        <v>0</v>
      </c>
      <c r="AW93"/>
      <c r="AX93"/>
      <c r="AY93"/>
    </row>
    <row r="94" spans="2:51" ht="14.25" customHeight="1">
      <c r="B94" s="645"/>
      <c r="C94" s="684"/>
      <c r="D94" s="656">
        <v>1</v>
      </c>
      <c r="E94" s="648" t="s">
        <v>85</v>
      </c>
      <c r="F94" s="685"/>
      <c r="G94" s="2571" t="s">
        <v>3234</v>
      </c>
      <c r="H94" s="2571" t="s">
        <v>3234</v>
      </c>
      <c r="I94" s="3831"/>
      <c r="J94" s="3832"/>
      <c r="K94" s="3832"/>
      <c r="L94" s="3832"/>
      <c r="M94" s="3833"/>
      <c r="N94" s="2948">
        <v>3</v>
      </c>
      <c r="O94" s="658">
        <f t="shared" si="46"/>
        <v>3</v>
      </c>
      <c r="P94" s="728">
        <f t="shared" si="55"/>
        <v>0.2</v>
      </c>
      <c r="Q94" s="2780"/>
      <c r="R94" s="2788">
        <f t="shared" si="47"/>
        <v>0</v>
      </c>
      <c r="S94" s="641">
        <f t="shared" si="56"/>
        <v>0</v>
      </c>
      <c r="T94" s="642"/>
      <c r="U94" s="567"/>
      <c r="V94" s="2621">
        <f>IF(採点Q2!F251="対象外",0,採点Q2!F251)</f>
        <v>3</v>
      </c>
      <c r="W94" s="2984"/>
      <c r="Y94" s="660">
        <f>IF($Y$3=4,N94,V94)</f>
        <v>3</v>
      </c>
      <c r="Z94" s="2611">
        <f>重み!D94</f>
        <v>0.2</v>
      </c>
      <c r="AA94" s="660">
        <f>IF($Y$3=4,Q94,W94)</f>
        <v>0</v>
      </c>
      <c r="AB94" s="2611">
        <f>重み!E94</f>
        <v>0</v>
      </c>
      <c r="AC94" s="2610"/>
      <c r="AD94" s="567"/>
      <c r="AE94" s="596">
        <f>重み!M94</f>
        <v>0.2</v>
      </c>
      <c r="AF94" s="581"/>
      <c r="AG94" s="596">
        <f>重み!N94</f>
        <v>0</v>
      </c>
      <c r="AW94"/>
      <c r="AX94"/>
      <c r="AY94"/>
    </row>
    <row r="95" spans="2:51" ht="14.25" customHeight="1">
      <c r="B95" s="645"/>
      <c r="C95" s="684"/>
      <c r="D95" s="656">
        <v>2</v>
      </c>
      <c r="E95" s="648" t="s">
        <v>86</v>
      </c>
      <c r="F95" s="685"/>
      <c r="G95" s="2571" t="s">
        <v>3235</v>
      </c>
      <c r="H95" s="2571" t="s">
        <v>3235</v>
      </c>
      <c r="I95" s="3831"/>
      <c r="J95" s="3832"/>
      <c r="K95" s="3832"/>
      <c r="L95" s="3832"/>
      <c r="M95" s="3833"/>
      <c r="N95" s="2949">
        <v>3</v>
      </c>
      <c r="O95" s="667">
        <f t="shared" si="46"/>
        <v>3</v>
      </c>
      <c r="P95" s="728">
        <f t="shared" si="55"/>
        <v>0.2</v>
      </c>
      <c r="Q95" s="2780"/>
      <c r="R95" s="2788">
        <f t="shared" si="47"/>
        <v>0</v>
      </c>
      <c r="S95" s="641">
        <f t="shared" si="56"/>
        <v>0</v>
      </c>
      <c r="T95" s="642"/>
      <c r="U95" s="567"/>
      <c r="V95" s="725">
        <f>IF(採点Q2!F270="対象外",0,採点Q2!F270)</f>
        <v>3</v>
      </c>
      <c r="W95" s="2984"/>
      <c r="Y95" s="660">
        <f t="shared" ref="Y95:Y98" si="63">IF($Y$3=4,N95,V95)</f>
        <v>3</v>
      </c>
      <c r="Z95" s="2611">
        <f>重み!D95</f>
        <v>0.2</v>
      </c>
      <c r="AA95" s="660">
        <f t="shared" ref="AA95:AA98" si="64">IF($Y$3=4,Q95,W95)</f>
        <v>0</v>
      </c>
      <c r="AB95" s="2611">
        <f>重み!E95</f>
        <v>0</v>
      </c>
      <c r="AC95" s="2610"/>
      <c r="AD95" s="567"/>
      <c r="AE95" s="596">
        <f>重み!M95</f>
        <v>0.2</v>
      </c>
      <c r="AF95" s="581"/>
      <c r="AG95" s="596">
        <f>重み!N95</f>
        <v>0</v>
      </c>
      <c r="AW95"/>
      <c r="AX95"/>
      <c r="AY95"/>
    </row>
    <row r="96" spans="2:51" ht="14.25" customHeight="1">
      <c r="B96" s="645"/>
      <c r="C96" s="684"/>
      <c r="D96" s="656">
        <v>3</v>
      </c>
      <c r="E96" s="648" t="s">
        <v>87</v>
      </c>
      <c r="F96" s="685"/>
      <c r="G96" s="2571" t="s">
        <v>3235</v>
      </c>
      <c r="H96" s="2571" t="s">
        <v>3235</v>
      </c>
      <c r="I96" s="3831"/>
      <c r="J96" s="3832"/>
      <c r="K96" s="3832"/>
      <c r="L96" s="3832"/>
      <c r="M96" s="3833"/>
      <c r="N96" s="2949">
        <v>3</v>
      </c>
      <c r="O96" s="667">
        <f t="shared" si="46"/>
        <v>3</v>
      </c>
      <c r="P96" s="728">
        <f t="shared" si="55"/>
        <v>0.2</v>
      </c>
      <c r="Q96" s="2780"/>
      <c r="R96" s="2788">
        <f t="shared" si="47"/>
        <v>0</v>
      </c>
      <c r="S96" s="641">
        <f t="shared" si="56"/>
        <v>0</v>
      </c>
      <c r="T96" s="642"/>
      <c r="U96" s="567"/>
      <c r="V96" s="725">
        <f>IF(採点Q2!F292="対象外",0,採点Q2!F292)</f>
        <v>3</v>
      </c>
      <c r="W96" s="733"/>
      <c r="Y96" s="660">
        <f t="shared" si="63"/>
        <v>3</v>
      </c>
      <c r="Z96" s="2611">
        <f>重み!D96</f>
        <v>0.2</v>
      </c>
      <c r="AA96" s="660">
        <f t="shared" si="64"/>
        <v>0</v>
      </c>
      <c r="AB96" s="2611">
        <f>重み!E96</f>
        <v>0</v>
      </c>
      <c r="AC96" s="2610"/>
      <c r="AD96" s="567"/>
      <c r="AE96" s="596">
        <f>重み!M96</f>
        <v>0.2</v>
      </c>
      <c r="AF96" s="581"/>
      <c r="AG96" s="596">
        <f>重み!N96</f>
        <v>0</v>
      </c>
      <c r="AW96"/>
      <c r="AX96"/>
      <c r="AY96"/>
    </row>
    <row r="97" spans="2:61" ht="14.25" customHeight="1">
      <c r="B97" s="645"/>
      <c r="C97" s="684"/>
      <c r="D97" s="656">
        <v>4</v>
      </c>
      <c r="E97" s="648" t="s">
        <v>1243</v>
      </c>
      <c r="F97" s="685"/>
      <c r="G97" s="2571" t="s">
        <v>3235</v>
      </c>
      <c r="H97" s="2571" t="s">
        <v>3235</v>
      </c>
      <c r="I97" s="3831"/>
      <c r="J97" s="3832"/>
      <c r="K97" s="3832"/>
      <c r="L97" s="3832"/>
      <c r="M97" s="3833"/>
      <c r="N97" s="2949">
        <v>3</v>
      </c>
      <c r="O97" s="667">
        <f t="shared" si="46"/>
        <v>3</v>
      </c>
      <c r="P97" s="728">
        <f t="shared" si="55"/>
        <v>0.2</v>
      </c>
      <c r="Q97" s="2780"/>
      <c r="R97" s="2788">
        <f t="shared" si="47"/>
        <v>0</v>
      </c>
      <c r="S97" s="641">
        <f t="shared" si="56"/>
        <v>0</v>
      </c>
      <c r="T97" s="642"/>
      <c r="U97" s="567"/>
      <c r="V97" s="725">
        <f>IF(採点Q2!F312="対象外",0,採点Q2!F312)</f>
        <v>3</v>
      </c>
      <c r="W97" s="733"/>
      <c r="Y97" s="660">
        <f t="shared" si="63"/>
        <v>3</v>
      </c>
      <c r="Z97" s="2611">
        <f>重み!D97</f>
        <v>0.2</v>
      </c>
      <c r="AA97" s="660">
        <f t="shared" si="64"/>
        <v>0</v>
      </c>
      <c r="AB97" s="2611">
        <f>重み!E97</f>
        <v>0</v>
      </c>
      <c r="AC97" s="2610"/>
      <c r="AD97" s="567"/>
      <c r="AE97" s="596">
        <f>重み!M97</f>
        <v>0.2</v>
      </c>
      <c r="AF97" s="581"/>
      <c r="AG97" s="596">
        <f>重み!N97</f>
        <v>0</v>
      </c>
      <c r="AW97"/>
      <c r="AX97"/>
      <c r="AY97"/>
    </row>
    <row r="98" spans="2:61" ht="14.25" customHeight="1" thickBot="1">
      <c r="B98" s="734"/>
      <c r="C98" s="693"/>
      <c r="D98" s="656">
        <v>5</v>
      </c>
      <c r="E98" s="648" t="s">
        <v>1244</v>
      </c>
      <c r="F98" s="685"/>
      <c r="G98" s="2571" t="s">
        <v>3235</v>
      </c>
      <c r="H98" s="2571" t="s">
        <v>3235</v>
      </c>
      <c r="I98" s="3849"/>
      <c r="J98" s="3850"/>
      <c r="K98" s="3850"/>
      <c r="L98" s="3850"/>
      <c r="M98" s="3851"/>
      <c r="N98" s="2952">
        <v>3</v>
      </c>
      <c r="O98" s="663">
        <f t="shared" si="46"/>
        <v>3</v>
      </c>
      <c r="P98" s="735">
        <f t="shared" si="55"/>
        <v>0.2</v>
      </c>
      <c r="Q98" s="2961"/>
      <c r="R98" s="2783">
        <f t="shared" si="47"/>
        <v>0</v>
      </c>
      <c r="S98" s="722">
        <f t="shared" si="56"/>
        <v>0</v>
      </c>
      <c r="T98" s="723"/>
      <c r="U98" s="567"/>
      <c r="V98" s="2622">
        <f>IF(採点Q2!F321="対象外",0,採点Q2!F321)</f>
        <v>3</v>
      </c>
      <c r="W98" s="733"/>
      <c r="Y98" s="660">
        <f t="shared" si="63"/>
        <v>3</v>
      </c>
      <c r="Z98" s="2611">
        <f>重み!D98</f>
        <v>0.2</v>
      </c>
      <c r="AA98" s="660">
        <f t="shared" si="64"/>
        <v>0</v>
      </c>
      <c r="AB98" s="2611">
        <f>重み!E98</f>
        <v>0</v>
      </c>
      <c r="AC98" s="2610"/>
      <c r="AD98" s="567"/>
      <c r="AE98" s="596">
        <f>重み!M98</f>
        <v>0.2</v>
      </c>
      <c r="AF98" s="581"/>
      <c r="AG98" s="596">
        <f>重み!N98</f>
        <v>0</v>
      </c>
      <c r="AW98"/>
      <c r="AX98"/>
      <c r="AY98"/>
    </row>
    <row r="99" spans="2:61" ht="14.25" hidden="1" customHeight="1">
      <c r="B99" s="645"/>
      <c r="C99" s="736"/>
      <c r="D99" s="737"/>
      <c r="E99" s="738"/>
      <c r="F99" s="635"/>
      <c r="G99" s="2568"/>
      <c r="H99" s="2568"/>
      <c r="I99" s="3842"/>
      <c r="J99" s="3843"/>
      <c r="K99" s="3843"/>
      <c r="L99" s="3843"/>
      <c r="M99" s="3844"/>
      <c r="N99" s="739"/>
      <c r="O99" s="739">
        <f t="shared" si="46"/>
        <v>0</v>
      </c>
      <c r="P99" s="640">
        <f t="shared" si="55"/>
        <v>0</v>
      </c>
      <c r="Q99" s="729"/>
      <c r="R99" s="739">
        <f t="shared" si="47"/>
        <v>0</v>
      </c>
      <c r="S99" s="641">
        <f t="shared" si="56"/>
        <v>0</v>
      </c>
      <c r="T99" s="642"/>
      <c r="U99" s="567"/>
      <c r="V99" s="730"/>
      <c r="W99" s="2984"/>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1245</v>
      </c>
      <c r="D100" s="740"/>
      <c r="E100" s="740"/>
      <c r="F100" s="680"/>
      <c r="G100" s="2582"/>
      <c r="H100" s="2582"/>
      <c r="I100" s="650"/>
      <c r="J100" s="651"/>
      <c r="K100" s="651"/>
      <c r="L100" s="651"/>
      <c r="M100" s="3010"/>
      <c r="N100" s="741">
        <f t="shared" ref="N100:N101" si="65">ROUNDDOWN(Y100,1)</f>
        <v>3</v>
      </c>
      <c r="O100" s="741">
        <f t="shared" si="46"/>
        <v>3</v>
      </c>
      <c r="P100" s="675">
        <f t="shared" si="55"/>
        <v>0.3</v>
      </c>
      <c r="Q100" s="2962">
        <f t="shared" ref="Q100:Q101" si="66">ROUNDDOWN(AA100,1)</f>
        <v>0</v>
      </c>
      <c r="R100" s="741">
        <f t="shared" si="47"/>
        <v>0</v>
      </c>
      <c r="S100" s="676">
        <f t="shared" si="56"/>
        <v>0</v>
      </c>
      <c r="T100" s="677">
        <f>ROUNDDOWN(AC100,1)</f>
        <v>3</v>
      </c>
      <c r="U100" s="567"/>
      <c r="V100" s="742"/>
      <c r="W100" s="2982"/>
      <c r="Y100" s="2978">
        <f>Y101*Z101+Y104*Z104+Y105*Z105</f>
        <v>3</v>
      </c>
      <c r="Z100" s="2611">
        <f>重み!D100</f>
        <v>0.3</v>
      </c>
      <c r="AA100" s="2978">
        <f>AA101*AB101+AA104*AB104+AA105*AB105</f>
        <v>0</v>
      </c>
      <c r="AB100" s="644">
        <f>SUM(AB101,AB104,AB105)</f>
        <v>0</v>
      </c>
      <c r="AC100" s="617">
        <f>IF(AA100=0,Y100,IF(Y100=0,AA100,Y100*AE$6+AA100*AG$6))</f>
        <v>3</v>
      </c>
      <c r="AD100" s="567"/>
      <c r="AE100" s="596">
        <f>重み!M100</f>
        <v>0.3</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0.3</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1246</v>
      </c>
      <c r="E101" s="647"/>
      <c r="F101" s="680"/>
      <c r="G101" s="2597"/>
      <c r="H101" s="2597"/>
      <c r="I101" s="650"/>
      <c r="J101" s="651"/>
      <c r="K101" s="651"/>
      <c r="L101" s="651"/>
      <c r="M101" s="3010"/>
      <c r="N101" s="695">
        <f t="shared" si="65"/>
        <v>3</v>
      </c>
      <c r="O101" s="695">
        <f t="shared" si="46"/>
        <v>3</v>
      </c>
      <c r="P101" s="640">
        <f t="shared" si="55"/>
        <v>0.3</v>
      </c>
      <c r="Q101" s="696">
        <f t="shared" si="66"/>
        <v>0</v>
      </c>
      <c r="R101" s="817">
        <f t="shared" si="47"/>
        <v>0</v>
      </c>
      <c r="S101" s="641">
        <f t="shared" si="56"/>
        <v>0</v>
      </c>
      <c r="T101" s="642"/>
      <c r="U101" s="567"/>
      <c r="V101" s="727"/>
      <c r="W101" s="2982"/>
      <c r="Y101" s="643">
        <f>SUMPRODUCT(Y102:Y103,Z102:Z103)</f>
        <v>3</v>
      </c>
      <c r="Z101" s="2611">
        <f>重み!D101</f>
        <v>0.3</v>
      </c>
      <c r="AA101" s="643">
        <f>SUMPRODUCT(AA102:AA103,AB102:AB103)</f>
        <v>0</v>
      </c>
      <c r="AB101" s="2611">
        <f>重み!E101</f>
        <v>0</v>
      </c>
      <c r="AC101" s="617"/>
      <c r="AD101" s="567"/>
      <c r="AE101" s="596">
        <f>重み!M101</f>
        <v>0.3</v>
      </c>
      <c r="AF101" s="581"/>
      <c r="AG101" s="596">
        <f>重み!N101</f>
        <v>0</v>
      </c>
      <c r="AW101"/>
      <c r="AX101"/>
      <c r="AY101"/>
    </row>
    <row r="102" spans="2:61" ht="14.25" customHeight="1">
      <c r="B102" s="694"/>
      <c r="C102" s="684"/>
      <c r="D102" s="656">
        <v>1</v>
      </c>
      <c r="E102" s="648" t="s">
        <v>1247</v>
      </c>
      <c r="F102" s="685"/>
      <c r="G102" s="2567"/>
      <c r="H102" s="2567"/>
      <c r="I102" s="3831"/>
      <c r="J102" s="3832"/>
      <c r="K102" s="3832"/>
      <c r="L102" s="3832"/>
      <c r="M102" s="3833"/>
      <c r="N102" s="2948">
        <v>0</v>
      </c>
      <c r="O102" s="658">
        <f t="shared" si="46"/>
        <v>3</v>
      </c>
      <c r="P102" s="659">
        <f t="shared" si="55"/>
        <v>0.6</v>
      </c>
      <c r="Q102" s="2948"/>
      <c r="R102" s="658">
        <f t="shared" si="47"/>
        <v>3</v>
      </c>
      <c r="S102" s="659">
        <f t="shared" si="56"/>
        <v>0</v>
      </c>
      <c r="T102" s="642"/>
      <c r="U102" s="567"/>
      <c r="V102" s="733">
        <f>IF(採点Q2!F342="対象外",0,採点Q2!F342)</f>
        <v>3</v>
      </c>
      <c r="W102" s="2614">
        <f>採点Q2!K342</f>
        <v>3</v>
      </c>
      <c r="Y102" s="660">
        <f t="shared" ref="Y102:Y103" si="68">IF($Y$3=4,N102,V102)</f>
        <v>3</v>
      </c>
      <c r="Z102" s="2611">
        <f>重み!D102</f>
        <v>0.6</v>
      </c>
      <c r="AA102" s="660">
        <f t="shared" ref="AA102:AA104" si="69">IF($Y$3=4,Q102,W102)</f>
        <v>3</v>
      </c>
      <c r="AB102" s="2611">
        <f>重み!E102</f>
        <v>0</v>
      </c>
      <c r="AC102" s="2610"/>
      <c r="AD102" s="567"/>
      <c r="AE102" s="596">
        <f>重み!M102</f>
        <v>0.6</v>
      </c>
      <c r="AF102" s="581"/>
      <c r="AG102" s="596">
        <f>重み!N102</f>
        <v>0</v>
      </c>
      <c r="AW102"/>
      <c r="AX102"/>
      <c r="AY102"/>
    </row>
    <row r="103" spans="2:61" ht="14.25" customHeight="1">
      <c r="B103" s="694"/>
      <c r="C103" s="684"/>
      <c r="D103" s="743">
        <v>2</v>
      </c>
      <c r="E103" s="647" t="s">
        <v>1248</v>
      </c>
      <c r="F103" s="680"/>
      <c r="G103" s="2567"/>
      <c r="H103" s="2567"/>
      <c r="I103" s="3831"/>
      <c r="J103" s="3832"/>
      <c r="K103" s="3832"/>
      <c r="L103" s="3832"/>
      <c r="M103" s="3833"/>
      <c r="N103" s="2949">
        <v>3</v>
      </c>
      <c r="O103" s="667">
        <f t="shared" si="46"/>
        <v>3</v>
      </c>
      <c r="P103" s="659">
        <f t="shared" si="55"/>
        <v>0.4</v>
      </c>
      <c r="Q103" s="2949"/>
      <c r="R103" s="667">
        <f t="shared" si="47"/>
        <v>3</v>
      </c>
      <c r="S103" s="659">
        <f t="shared" si="56"/>
        <v>0</v>
      </c>
      <c r="T103" s="642"/>
      <c r="U103" s="567"/>
      <c r="V103" s="733">
        <f>IF(採点Q2!F351="対象外",0,採点Q2!F351)</f>
        <v>3</v>
      </c>
      <c r="W103" s="2620">
        <f>採点Q2!K351</f>
        <v>3</v>
      </c>
      <c r="Y103" s="660">
        <f t="shared" si="68"/>
        <v>3</v>
      </c>
      <c r="Z103" s="2611">
        <f>重み!D103</f>
        <v>0.4</v>
      </c>
      <c r="AA103" s="660">
        <f t="shared" si="69"/>
        <v>3</v>
      </c>
      <c r="AB103" s="2611">
        <f>重み!E103</f>
        <v>0</v>
      </c>
      <c r="AC103" s="2610"/>
      <c r="AD103" s="567"/>
      <c r="AE103" s="596">
        <f>重み!M103</f>
        <v>0.4</v>
      </c>
      <c r="AF103" s="581"/>
      <c r="AG103" s="596">
        <f>重み!N103</f>
        <v>0</v>
      </c>
      <c r="AW103"/>
      <c r="AX103"/>
      <c r="AY103"/>
    </row>
    <row r="104" spans="2:61" ht="14.25" customHeight="1" thickBot="1">
      <c r="B104" s="694"/>
      <c r="C104" s="669">
        <v>3.2</v>
      </c>
      <c r="D104" s="744" t="s">
        <v>1249</v>
      </c>
      <c r="E104" s="648"/>
      <c r="F104" s="685"/>
      <c r="G104" s="2567"/>
      <c r="H104" s="2567"/>
      <c r="I104" s="3831"/>
      <c r="J104" s="3832"/>
      <c r="K104" s="3832"/>
      <c r="L104" s="3832"/>
      <c r="M104" s="3833"/>
      <c r="N104" s="2950">
        <v>3</v>
      </c>
      <c r="O104" s="670">
        <f t="shared" si="46"/>
        <v>3</v>
      </c>
      <c r="P104" s="659">
        <f t="shared" si="55"/>
        <v>0.3</v>
      </c>
      <c r="Q104" s="2950"/>
      <c r="R104" s="670">
        <f t="shared" si="47"/>
        <v>3</v>
      </c>
      <c r="S104" s="659">
        <f t="shared" si="56"/>
        <v>0</v>
      </c>
      <c r="T104" s="642"/>
      <c r="U104" s="567"/>
      <c r="V104" s="733">
        <f>IF(採点Q2!F362="対象外",0,採点Q2!F362)</f>
        <v>3</v>
      </c>
      <c r="W104" s="2617">
        <f>採点Q2!M362</f>
        <v>3</v>
      </c>
      <c r="Y104" s="2975">
        <f>IF($Y$3=4,N104,V104)</f>
        <v>3</v>
      </c>
      <c r="Z104" s="2611">
        <f>重み!D104</f>
        <v>0.3</v>
      </c>
      <c r="AA104" s="2975">
        <f t="shared" si="69"/>
        <v>3</v>
      </c>
      <c r="AB104" s="2611">
        <f>重み!E104</f>
        <v>0</v>
      </c>
      <c r="AC104" s="2610"/>
      <c r="AD104" s="567"/>
      <c r="AE104" s="596">
        <f>重み!M104</f>
        <v>0.3</v>
      </c>
      <c r="AF104" s="581"/>
      <c r="AG104" s="596">
        <f>重み!N104</f>
        <v>0</v>
      </c>
      <c r="AW104"/>
      <c r="AX104"/>
      <c r="AY104"/>
    </row>
    <row r="105" spans="2:61" ht="14.25" customHeight="1" thickBot="1">
      <c r="B105" s="694"/>
      <c r="C105" s="664">
        <v>3.3</v>
      </c>
      <c r="D105" s="678" t="s">
        <v>1250</v>
      </c>
      <c r="E105" s="647"/>
      <c r="F105" s="680"/>
      <c r="G105" s="2574"/>
      <c r="H105" s="2574"/>
      <c r="I105" s="636"/>
      <c r="J105" s="637"/>
      <c r="K105" s="637"/>
      <c r="L105" s="637"/>
      <c r="M105" s="638"/>
      <c r="N105" s="695">
        <f>ROUNDDOWN(Y105,1)</f>
        <v>3</v>
      </c>
      <c r="O105" s="695">
        <f t="shared" si="46"/>
        <v>3</v>
      </c>
      <c r="P105" s="640">
        <f>Z105</f>
        <v>0.4</v>
      </c>
      <c r="Q105" s="696">
        <f>ROUNDDOWN(AA105,1)</f>
        <v>0</v>
      </c>
      <c r="R105" s="2965">
        <f t="shared" si="47"/>
        <v>0</v>
      </c>
      <c r="S105" s="641">
        <f t="shared" si="56"/>
        <v>0</v>
      </c>
      <c r="T105" s="642"/>
      <c r="U105" s="567"/>
      <c r="V105" s="730"/>
      <c r="W105" s="2982"/>
      <c r="Y105" s="643">
        <f>SUMPRODUCT(Y106:Y111,Z106:Z111)</f>
        <v>3.0000000000000004</v>
      </c>
      <c r="Z105" s="2611">
        <f>重み!D105</f>
        <v>0.4</v>
      </c>
      <c r="AA105" s="643">
        <f>SUMPRODUCT(AA106:AA111,AB106:AB111)</f>
        <v>0</v>
      </c>
      <c r="AB105" s="2611">
        <f>重み!E105</f>
        <v>0</v>
      </c>
      <c r="AC105" s="617"/>
      <c r="AD105" s="567"/>
      <c r="AE105" s="596">
        <f>重み!M105</f>
        <v>0.4</v>
      </c>
      <c r="AF105" s="581"/>
      <c r="AG105" s="596">
        <f>重み!N105</f>
        <v>0</v>
      </c>
      <c r="AW105"/>
      <c r="AX105"/>
      <c r="AY105"/>
    </row>
    <row r="106" spans="2:61" ht="14.25" customHeight="1">
      <c r="B106" s="694"/>
      <c r="C106" s="684"/>
      <c r="D106" s="656">
        <v>1</v>
      </c>
      <c r="E106" s="648" t="s">
        <v>1934</v>
      </c>
      <c r="F106" s="685"/>
      <c r="G106" s="2567"/>
      <c r="H106" s="2567"/>
      <c r="I106" s="3831"/>
      <c r="J106" s="3832"/>
      <c r="K106" s="3832"/>
      <c r="L106" s="3832"/>
      <c r="M106" s="3833"/>
      <c r="N106" s="2948">
        <v>0</v>
      </c>
      <c r="O106" s="658">
        <f t="shared" si="46"/>
        <v>3</v>
      </c>
      <c r="P106" s="728">
        <f t="shared" si="55"/>
        <v>0.2</v>
      </c>
      <c r="Q106" s="2780"/>
      <c r="R106" s="2788">
        <f t="shared" si="47"/>
        <v>0</v>
      </c>
      <c r="S106" s="641">
        <f t="shared" si="56"/>
        <v>0</v>
      </c>
      <c r="T106" s="642"/>
      <c r="U106" s="567"/>
      <c r="V106" s="2621">
        <f>IF(採点Q2!F372="対象外",0,採点Q2!F372)</f>
        <v>3</v>
      </c>
      <c r="W106" s="2982"/>
      <c r="Y106" s="660">
        <f>IF($Y$3=4,N106,V106)</f>
        <v>3</v>
      </c>
      <c r="Z106" s="2611">
        <f>重み!D106</f>
        <v>0.2</v>
      </c>
      <c r="AA106" s="660">
        <f>IF($Y$3=4,Q106,W106)</f>
        <v>0</v>
      </c>
      <c r="AB106" s="2611">
        <f>重み!E106</f>
        <v>0</v>
      </c>
      <c r="AC106" s="2610"/>
      <c r="AD106" s="567"/>
      <c r="AE106" s="596">
        <f>重み!M106</f>
        <v>0.2</v>
      </c>
      <c r="AF106" s="581"/>
      <c r="AG106" s="596">
        <f>重み!N106</f>
        <v>0</v>
      </c>
      <c r="AW106"/>
      <c r="AX106"/>
      <c r="AY106"/>
    </row>
    <row r="107" spans="2:61" ht="14.25" customHeight="1">
      <c r="B107" s="694"/>
      <c r="C107" s="684"/>
      <c r="D107" s="743">
        <v>2</v>
      </c>
      <c r="E107" s="647" t="s">
        <v>1251</v>
      </c>
      <c r="F107" s="680"/>
      <c r="G107" s="2567"/>
      <c r="H107" s="2567"/>
      <c r="I107" s="3831"/>
      <c r="J107" s="3832"/>
      <c r="K107" s="3832"/>
      <c r="L107" s="3832"/>
      <c r="M107" s="3833"/>
      <c r="N107" s="2949">
        <v>3</v>
      </c>
      <c r="O107" s="667">
        <f t="shared" si="46"/>
        <v>3</v>
      </c>
      <c r="P107" s="728">
        <f t="shared" si="55"/>
        <v>0.2</v>
      </c>
      <c r="Q107" s="2780"/>
      <c r="R107" s="2788">
        <f t="shared" si="47"/>
        <v>0</v>
      </c>
      <c r="S107" s="641">
        <f t="shared" si="56"/>
        <v>0</v>
      </c>
      <c r="T107" s="642"/>
      <c r="U107" s="567"/>
      <c r="V107" s="725">
        <f>IF(採点Q2!K372="対象外",0,採点Q2!K372)</f>
        <v>3</v>
      </c>
      <c r="W107" s="2982"/>
      <c r="Y107" s="660">
        <f t="shared" ref="Y107:Y111" si="70">IF($Y$3=4,N107,V107)</f>
        <v>3</v>
      </c>
      <c r="Z107" s="2611">
        <f>重み!D107</f>
        <v>0.2</v>
      </c>
      <c r="AA107" s="660">
        <f t="shared" ref="AA107:AA111" si="71">IF($Y$3=4,Q107,W107)</f>
        <v>0</v>
      </c>
      <c r="AB107" s="2611">
        <f>重み!E107</f>
        <v>0</v>
      </c>
      <c r="AC107" s="2610"/>
      <c r="AD107" s="567"/>
      <c r="AE107" s="596">
        <f>重み!M107</f>
        <v>0.2</v>
      </c>
      <c r="AF107" s="581"/>
      <c r="AG107" s="596">
        <f>重み!N107</f>
        <v>0</v>
      </c>
      <c r="AW107"/>
      <c r="AX107"/>
      <c r="AY107"/>
    </row>
    <row r="108" spans="2:61" ht="14.25" customHeight="1">
      <c r="B108" s="694"/>
      <c r="C108" s="684"/>
      <c r="D108" s="656">
        <v>3</v>
      </c>
      <c r="E108" s="648" t="s">
        <v>1252</v>
      </c>
      <c r="F108" s="685"/>
      <c r="G108" s="2567"/>
      <c r="H108" s="2567"/>
      <c r="I108" s="3831"/>
      <c r="J108" s="3832"/>
      <c r="K108" s="3832"/>
      <c r="L108" s="3832"/>
      <c r="M108" s="3833"/>
      <c r="N108" s="2949">
        <v>3</v>
      </c>
      <c r="O108" s="667">
        <f t="shared" si="46"/>
        <v>3</v>
      </c>
      <c r="P108" s="728">
        <f t="shared" si="55"/>
        <v>0.1</v>
      </c>
      <c r="Q108" s="2780"/>
      <c r="R108" s="2788">
        <f t="shared" si="47"/>
        <v>0</v>
      </c>
      <c r="S108" s="641">
        <f t="shared" si="56"/>
        <v>0</v>
      </c>
      <c r="T108" s="642"/>
      <c r="U108" s="567"/>
      <c r="V108" s="725">
        <f>IF(採点Q2!F381="対象外",0,採点Q2!F381)</f>
        <v>3</v>
      </c>
      <c r="W108" s="2982"/>
      <c r="Y108" s="660">
        <f t="shared" si="70"/>
        <v>3</v>
      </c>
      <c r="Z108" s="2611">
        <f>重み!D108</f>
        <v>0.1</v>
      </c>
      <c r="AA108" s="660">
        <f t="shared" si="71"/>
        <v>0</v>
      </c>
      <c r="AB108" s="2611">
        <f>重み!E108</f>
        <v>0</v>
      </c>
      <c r="AC108" s="2610"/>
      <c r="AD108" s="567"/>
      <c r="AE108" s="596">
        <f>重み!M108</f>
        <v>0.1</v>
      </c>
      <c r="AF108" s="581"/>
      <c r="AG108" s="596">
        <f>重み!N108</f>
        <v>0</v>
      </c>
      <c r="AW108"/>
      <c r="AX108"/>
      <c r="AY108"/>
    </row>
    <row r="109" spans="2:61" ht="14.25" customHeight="1">
      <c r="B109" s="694"/>
      <c r="C109" s="684"/>
      <c r="D109" s="743">
        <v>4</v>
      </c>
      <c r="E109" s="647" t="s">
        <v>1253</v>
      </c>
      <c r="F109" s="680"/>
      <c r="G109" s="2567"/>
      <c r="H109" s="2567"/>
      <c r="I109" s="3831"/>
      <c r="J109" s="3832"/>
      <c r="K109" s="3832"/>
      <c r="L109" s="3832"/>
      <c r="M109" s="3833"/>
      <c r="N109" s="2949">
        <v>3</v>
      </c>
      <c r="O109" s="667">
        <f t="shared" si="46"/>
        <v>3</v>
      </c>
      <c r="P109" s="728">
        <f t="shared" si="55"/>
        <v>0.1</v>
      </c>
      <c r="Q109" s="2780"/>
      <c r="R109" s="2788">
        <f t="shared" si="47"/>
        <v>0</v>
      </c>
      <c r="S109" s="641">
        <f t="shared" si="56"/>
        <v>0</v>
      </c>
      <c r="T109" s="642"/>
      <c r="U109" s="567"/>
      <c r="V109" s="725">
        <f>IF(採点Q2!K381="対象外",0,採点Q2!K381)</f>
        <v>3</v>
      </c>
      <c r="W109" s="2982"/>
      <c r="Y109" s="660">
        <f t="shared" si="70"/>
        <v>3</v>
      </c>
      <c r="Z109" s="2611">
        <f>重み!D109</f>
        <v>0.1</v>
      </c>
      <c r="AA109" s="660">
        <f t="shared" si="71"/>
        <v>0</v>
      </c>
      <c r="AB109" s="2611">
        <f>重み!E109</f>
        <v>0</v>
      </c>
      <c r="AC109" s="2610"/>
      <c r="AD109" s="567"/>
      <c r="AE109" s="596">
        <f>重み!M109</f>
        <v>0.1</v>
      </c>
      <c r="AF109" s="581"/>
      <c r="AG109" s="596">
        <f>重み!N109</f>
        <v>0</v>
      </c>
      <c r="AW109"/>
      <c r="AX109"/>
      <c r="AY109"/>
    </row>
    <row r="110" spans="2:61" ht="14.25" customHeight="1">
      <c r="B110" s="694"/>
      <c r="C110" s="684"/>
      <c r="D110" s="656">
        <v>5</v>
      </c>
      <c r="E110" s="648" t="s">
        <v>1254</v>
      </c>
      <c r="F110" s="685"/>
      <c r="G110" s="2567"/>
      <c r="H110" s="2567"/>
      <c r="I110" s="3831"/>
      <c r="J110" s="3832"/>
      <c r="K110" s="3832"/>
      <c r="L110" s="3832"/>
      <c r="M110" s="3833"/>
      <c r="N110" s="2949">
        <v>3</v>
      </c>
      <c r="O110" s="667">
        <f t="shared" si="46"/>
        <v>3</v>
      </c>
      <c r="P110" s="728">
        <f t="shared" ref="P110:P147" si="72">Z110</f>
        <v>0.2</v>
      </c>
      <c r="Q110" s="2780"/>
      <c r="R110" s="2788">
        <f t="shared" si="47"/>
        <v>0</v>
      </c>
      <c r="S110" s="641">
        <f t="shared" ref="S110:S147" si="73">AB110</f>
        <v>0</v>
      </c>
      <c r="T110" s="642"/>
      <c r="U110" s="567"/>
      <c r="V110" s="725">
        <f>IF(採点Q2!F390="対象外",0,採点Q2!F390)</f>
        <v>3</v>
      </c>
      <c r="W110" s="2982"/>
      <c r="Y110" s="660">
        <f t="shared" si="70"/>
        <v>3</v>
      </c>
      <c r="Z110" s="2611">
        <f>重み!D110</f>
        <v>0.2</v>
      </c>
      <c r="AA110" s="660">
        <f t="shared" si="71"/>
        <v>0</v>
      </c>
      <c r="AB110" s="2611">
        <f>重み!E110</f>
        <v>0</v>
      </c>
      <c r="AC110" s="2610"/>
      <c r="AD110" s="567"/>
      <c r="AE110" s="596">
        <f>重み!M110</f>
        <v>0.2</v>
      </c>
      <c r="AF110" s="581"/>
      <c r="AG110" s="596">
        <f>重み!N110</f>
        <v>0</v>
      </c>
      <c r="AW110"/>
      <c r="AX110"/>
      <c r="AY110"/>
    </row>
    <row r="111" spans="2:61" ht="14.25" customHeight="1" thickBot="1">
      <c r="B111" s="702"/>
      <c r="C111" s="745"/>
      <c r="D111" s="746">
        <v>6</v>
      </c>
      <c r="E111" s="704" t="s">
        <v>1255</v>
      </c>
      <c r="F111" s="705"/>
      <c r="G111" s="2567"/>
      <c r="H111" s="2567"/>
      <c r="I111" s="3831"/>
      <c r="J111" s="3832"/>
      <c r="K111" s="3832"/>
      <c r="L111" s="3832"/>
      <c r="M111" s="3833"/>
      <c r="N111" s="2952">
        <v>3</v>
      </c>
      <c r="O111" s="663">
        <f t="shared" si="46"/>
        <v>3</v>
      </c>
      <c r="P111" s="747">
        <f t="shared" si="72"/>
        <v>0.2</v>
      </c>
      <c r="Q111" s="2784"/>
      <c r="R111" s="2966">
        <f t="shared" si="47"/>
        <v>0</v>
      </c>
      <c r="S111" s="748">
        <f t="shared" si="73"/>
        <v>0</v>
      </c>
      <c r="T111" s="706"/>
      <c r="U111" s="567"/>
      <c r="V111" s="2622">
        <f>IF(採点Q2!K390="対象外",0,採点Q2!K390)</f>
        <v>3</v>
      </c>
      <c r="W111" s="2982"/>
      <c r="Y111" s="660">
        <f t="shared" si="70"/>
        <v>3</v>
      </c>
      <c r="Z111" s="2611">
        <f>重み!D111</f>
        <v>0.2</v>
      </c>
      <c r="AA111" s="660">
        <f t="shared" si="71"/>
        <v>0</v>
      </c>
      <c r="AB111" s="2611">
        <f>重み!E111</f>
        <v>0</v>
      </c>
      <c r="AC111" s="2610"/>
      <c r="AD111" s="567"/>
      <c r="AE111" s="596">
        <f>重み!M111</f>
        <v>0.2</v>
      </c>
      <c r="AF111" s="581"/>
      <c r="AG111" s="596">
        <f>重み!N111</f>
        <v>0</v>
      </c>
      <c r="AW111"/>
      <c r="AX111"/>
      <c r="AY111"/>
    </row>
    <row r="112" spans="2:61" ht="14.25" customHeight="1" thickBot="1">
      <c r="B112" s="707" t="s">
        <v>1935</v>
      </c>
      <c r="C112" s="749" t="s">
        <v>1936</v>
      </c>
      <c r="D112" s="749"/>
      <c r="E112" s="749"/>
      <c r="F112" s="750"/>
      <c r="G112" s="2578"/>
      <c r="H112" s="2578"/>
      <c r="I112" s="711"/>
      <c r="J112" s="712"/>
      <c r="K112" s="712"/>
      <c r="L112" s="712"/>
      <c r="M112" s="713"/>
      <c r="N112" s="751"/>
      <c r="O112" s="751">
        <f t="shared" si="46"/>
        <v>0</v>
      </c>
      <c r="P112" s="715">
        <f t="shared" si="72"/>
        <v>0.3</v>
      </c>
      <c r="Q112" s="716"/>
      <c r="R112" s="2958">
        <f t="shared" si="47"/>
        <v>0</v>
      </c>
      <c r="S112" s="717">
        <f t="shared" si="73"/>
        <v>0</v>
      </c>
      <c r="T112" s="718">
        <f>ROUNDDOWN(AC112,1)</f>
        <v>3</v>
      </c>
      <c r="U112" s="567"/>
      <c r="V112" s="2986"/>
      <c r="W112" s="2982"/>
      <c r="Y112" s="690"/>
      <c r="Z112" s="629">
        <f>重み!D112</f>
        <v>0.3</v>
      </c>
      <c r="AA112" s="690"/>
      <c r="AB112" s="629"/>
      <c r="AC112" s="3017">
        <f>AC113*Z113+Z114*AC114+AC116*Z116+AC117*Z117</f>
        <v>3</v>
      </c>
      <c r="AD112" s="567"/>
      <c r="AE112" s="596">
        <f>重み!M112</f>
        <v>0.3</v>
      </c>
      <c r="AF112" s="581"/>
      <c r="AG112" s="596">
        <f>重み!N112</f>
        <v>0</v>
      </c>
      <c r="AI112" s="2375"/>
      <c r="AJ112" s="2361"/>
      <c r="AK112" s="2361"/>
      <c r="AL112" s="2361"/>
      <c r="AM112" s="2361"/>
      <c r="AN112" s="2361"/>
      <c r="AO112" s="2361"/>
      <c r="AP112" s="2361"/>
      <c r="AQ112" s="2361"/>
      <c r="AR112" s="2362"/>
      <c r="AS112" s="2363"/>
      <c r="AT112" s="2364">
        <f>P112</f>
        <v>0.3</v>
      </c>
      <c r="AU112" s="718">
        <f>ROUNDDOWN(AW112,1)</f>
        <v>3</v>
      </c>
      <c r="AW112" s="2354">
        <f>SUMPRODUCT(AT113:AT119,AW113:AW119)</f>
        <v>3</v>
      </c>
    </row>
    <row r="113" spans="2:61" ht="14.25" customHeight="1">
      <c r="B113" s="631">
        <v>1</v>
      </c>
      <c r="C113" s="720" t="s">
        <v>1256</v>
      </c>
      <c r="D113" s="665"/>
      <c r="E113" s="665"/>
      <c r="F113" s="635"/>
      <c r="G113" s="3005" t="s">
        <v>3236</v>
      </c>
      <c r="H113" s="3006" t="s">
        <v>3236</v>
      </c>
      <c r="I113" s="3842"/>
      <c r="J113" s="3843"/>
      <c r="K113" s="3843"/>
      <c r="L113" s="3843"/>
      <c r="M113" s="3844"/>
      <c r="N113" s="2902">
        <v>0</v>
      </c>
      <c r="O113" s="752">
        <f t="shared" si="46"/>
        <v>3</v>
      </c>
      <c r="P113" s="728">
        <f t="shared" si="72"/>
        <v>0.3</v>
      </c>
      <c r="Q113" s="2779"/>
      <c r="R113" s="2976">
        <f t="shared" si="47"/>
        <v>0</v>
      </c>
      <c r="S113" s="641">
        <f t="shared" si="73"/>
        <v>0</v>
      </c>
      <c r="T113" s="642">
        <f>ROUNDDOWN(AC113,1)</f>
        <v>3</v>
      </c>
      <c r="U113" s="567"/>
      <c r="V113" s="2621">
        <f>IF(採点Q3!F7="対象外",0,採点Q3!F7)</f>
        <v>3</v>
      </c>
      <c r="W113" s="2982"/>
      <c r="Y113" s="2979">
        <f>IF($Y$3=4,N113,V113)</f>
        <v>3</v>
      </c>
      <c r="Z113" s="2611">
        <f>重み!D113</f>
        <v>0.3</v>
      </c>
      <c r="AA113" s="2979">
        <f t="shared" ref="AA113:AA116" si="74">IF($Y$3=4,Q113,W113)</f>
        <v>0</v>
      </c>
      <c r="AB113" s="2611">
        <f>重み!E113</f>
        <v>0</v>
      </c>
      <c r="AC113" s="2610">
        <f>IF(AA113=0,Y113,IF(Y113=0,AA113,Y113*AE$6+AA113*AG$6))</f>
        <v>3</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9">
        <v>1</v>
      </c>
      <c r="C114" s="3007" t="s">
        <v>3472</v>
      </c>
      <c r="D114" s="2943"/>
      <c r="E114" s="648"/>
      <c r="F114" s="685"/>
      <c r="G114" s="3008"/>
      <c r="H114" s="3009"/>
      <c r="I114" s="673"/>
      <c r="J114" s="2895"/>
      <c r="K114" s="2895"/>
      <c r="L114" s="2895"/>
      <c r="M114" s="2222"/>
      <c r="N114" s="3011">
        <f>ROUNDDOWN(Y114,1)</f>
        <v>0</v>
      </c>
      <c r="O114" s="3011">
        <f t="shared" si="46"/>
        <v>0</v>
      </c>
      <c r="P114" s="681">
        <f>Z114</f>
        <v>0</v>
      </c>
      <c r="Q114" s="682">
        <f>ROUNDDOWN(AA114,1)</f>
        <v>0</v>
      </c>
      <c r="R114" s="652">
        <f t="shared" si="47"/>
        <v>0</v>
      </c>
      <c r="S114" s="683">
        <f t="shared" si="73"/>
        <v>0</v>
      </c>
      <c r="T114" s="677">
        <f>ROUNDDOWN(AC114,1)</f>
        <v>0</v>
      </c>
      <c r="U114" s="2607"/>
      <c r="V114" s="3001">
        <v>100</v>
      </c>
      <c r="W114" s="2982"/>
      <c r="Y114" s="2978">
        <f>Y115*Z115</f>
        <v>0</v>
      </c>
      <c r="Z114" s="2611">
        <f>重み!D114</f>
        <v>0</v>
      </c>
      <c r="AA114" s="2978">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40"/>
      <c r="C115" s="2941">
        <v>1.1000000000000001</v>
      </c>
      <c r="D115" s="2938" t="s">
        <v>3473</v>
      </c>
      <c r="E115" s="759"/>
      <c r="F115" s="701"/>
      <c r="G115" s="2900"/>
      <c r="H115" s="2901"/>
      <c r="I115" s="3858"/>
      <c r="J115" s="3859"/>
      <c r="K115" s="3859"/>
      <c r="L115" s="3859"/>
      <c r="M115" s="3860"/>
      <c r="N115" s="2902">
        <v>3</v>
      </c>
      <c r="O115" s="752">
        <f t="shared" si="46"/>
        <v>100</v>
      </c>
      <c r="P115" s="3012">
        <f>Z115</f>
        <v>0</v>
      </c>
      <c r="Q115" s="2785"/>
      <c r="R115" s="2789">
        <f t="shared" si="47"/>
        <v>0</v>
      </c>
      <c r="S115" s="676">
        <f t="shared" si="73"/>
        <v>0</v>
      </c>
      <c r="T115" s="677"/>
      <c r="U115" s="2607"/>
      <c r="V115" s="3001">
        <v>100</v>
      </c>
      <c r="W115" s="2982"/>
      <c r="Y115" s="2975">
        <f t="shared" ref="Y115:Y116" si="76">IF($Y$3=4,N115,V115)</f>
        <v>100</v>
      </c>
      <c r="Z115" s="2611">
        <f>重み!D115</f>
        <v>0</v>
      </c>
      <c r="AA115" s="2975">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1257</v>
      </c>
      <c r="D116" s="648"/>
      <c r="E116" s="648"/>
      <c r="F116" s="685"/>
      <c r="G116" s="2566" t="s">
        <v>3237</v>
      </c>
      <c r="H116" s="2565" t="s">
        <v>3237</v>
      </c>
      <c r="I116" s="3858"/>
      <c r="J116" s="3859"/>
      <c r="K116" s="3859"/>
      <c r="L116" s="3859"/>
      <c r="M116" s="3860"/>
      <c r="N116" s="2950">
        <v>0</v>
      </c>
      <c r="O116" s="670">
        <f t="shared" si="46"/>
        <v>3</v>
      </c>
      <c r="P116" s="3012">
        <f t="shared" si="72"/>
        <v>0.4</v>
      </c>
      <c r="Q116" s="2785"/>
      <c r="R116" s="2789">
        <f t="shared" si="47"/>
        <v>0</v>
      </c>
      <c r="S116" s="676">
        <f t="shared" si="73"/>
        <v>0</v>
      </c>
      <c r="T116" s="677">
        <f>ROUNDDOWN(AC116,1)</f>
        <v>3</v>
      </c>
      <c r="U116" s="567"/>
      <c r="V116" s="2622">
        <f>IF(採点Q3!F34="対象外",0,採点Q3!F34)</f>
        <v>3</v>
      </c>
      <c r="W116" s="2982"/>
      <c r="Y116" s="2979">
        <f t="shared" si="76"/>
        <v>3</v>
      </c>
      <c r="Z116" s="2611">
        <f>重み!D116</f>
        <v>0.4</v>
      </c>
      <c r="AA116" s="2979">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1258</v>
      </c>
      <c r="D117" s="657"/>
      <c r="E117" s="657"/>
      <c r="F117" s="701"/>
      <c r="G117" s="2564"/>
      <c r="H117" s="2563"/>
      <c r="I117" s="673"/>
      <c r="J117" s="2895"/>
      <c r="K117" s="2895"/>
      <c r="L117" s="2895"/>
      <c r="M117" s="2222"/>
      <c r="N117" s="695">
        <f>ROUNDDOWN(Y117,1)</f>
        <v>3</v>
      </c>
      <c r="O117" s="695">
        <f t="shared" si="46"/>
        <v>3</v>
      </c>
      <c r="P117" s="755">
        <f>Z117</f>
        <v>0.3</v>
      </c>
      <c r="Q117" s="2964">
        <f>ROUNDDOWN(AA117,1)</f>
        <v>0</v>
      </c>
      <c r="R117" s="2786">
        <f t="shared" si="47"/>
        <v>0</v>
      </c>
      <c r="S117" s="676">
        <f t="shared" si="73"/>
        <v>0</v>
      </c>
      <c r="T117" s="677">
        <f>ROUNDDOWN(AC117,1)</f>
        <v>3</v>
      </c>
      <c r="U117" s="567"/>
      <c r="V117" s="730"/>
      <c r="W117" s="2982"/>
      <c r="Y117" s="2978">
        <f>Y118*Z118+Y119*Z119</f>
        <v>3</v>
      </c>
      <c r="Z117" s="2611">
        <f>重み!D117</f>
        <v>0.3</v>
      </c>
      <c r="AA117" s="2978">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1259</v>
      </c>
      <c r="E118" s="759"/>
      <c r="F118" s="701"/>
      <c r="G118" s="2562" t="s">
        <v>3238</v>
      </c>
      <c r="H118" s="2561" t="s">
        <v>3238</v>
      </c>
      <c r="I118" s="3842"/>
      <c r="J118" s="3843"/>
      <c r="K118" s="3843"/>
      <c r="L118" s="3843"/>
      <c r="M118" s="3844"/>
      <c r="N118" s="2902">
        <v>0</v>
      </c>
      <c r="O118" s="752">
        <f t="shared" si="46"/>
        <v>3</v>
      </c>
      <c r="P118" s="728">
        <f t="shared" si="72"/>
        <v>0.5</v>
      </c>
      <c r="Q118" s="2779"/>
      <c r="R118" s="2790">
        <f t="shared" si="47"/>
        <v>0</v>
      </c>
      <c r="S118" s="641">
        <f t="shared" si="73"/>
        <v>0</v>
      </c>
      <c r="T118" s="642"/>
      <c r="U118" s="567"/>
      <c r="V118" s="2621">
        <f>IF(採点Q3!F56="対象外",0,採点Q3!F56)</f>
        <v>3</v>
      </c>
      <c r="W118" s="2982"/>
      <c r="Y118" s="2975">
        <f t="shared" ref="Y118:Y119" si="77">IF($Y$3=4,N118,V118)</f>
        <v>3</v>
      </c>
      <c r="Z118" s="2611">
        <f>重み!D118</f>
        <v>0.5</v>
      </c>
      <c r="AA118" s="2975">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1260</v>
      </c>
      <c r="E119" s="761"/>
      <c r="F119" s="685"/>
      <c r="G119" s="2560" t="s">
        <v>3239</v>
      </c>
      <c r="H119" s="2559"/>
      <c r="I119" s="3831"/>
      <c r="J119" s="3832"/>
      <c r="K119" s="3832"/>
      <c r="L119" s="3832"/>
      <c r="M119" s="3833"/>
      <c r="N119" s="2950">
        <v>0</v>
      </c>
      <c r="O119" s="670">
        <f t="shared" si="46"/>
        <v>3</v>
      </c>
      <c r="P119" s="728">
        <f t="shared" si="72"/>
        <v>0.5</v>
      </c>
      <c r="Q119" s="2779"/>
      <c r="R119" s="2790">
        <f t="shared" si="47"/>
        <v>0</v>
      </c>
      <c r="S119" s="762">
        <f t="shared" si="73"/>
        <v>0</v>
      </c>
      <c r="T119" s="642"/>
      <c r="U119" s="567"/>
      <c r="V119" s="2622">
        <f>IF(採点Q3!F87="対象外",0,採点Q3!F87)</f>
        <v>3</v>
      </c>
      <c r="W119" s="2982"/>
      <c r="Y119" s="2975">
        <f t="shared" si="77"/>
        <v>3</v>
      </c>
      <c r="Z119" s="2611">
        <f>重み!D119</f>
        <v>0.5</v>
      </c>
      <c r="AA119" s="2975">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831"/>
      <c r="J120" s="3832"/>
      <c r="K120" s="3832"/>
      <c r="L120" s="3832"/>
      <c r="M120" s="3833"/>
      <c r="N120" s="739"/>
      <c r="O120" s="739">
        <f t="shared" si="46"/>
        <v>0</v>
      </c>
      <c r="P120" s="768">
        <f t="shared" si="72"/>
        <v>0</v>
      </c>
      <c r="Q120" s="729"/>
      <c r="R120" s="2967">
        <f t="shared" si="47"/>
        <v>0</v>
      </c>
      <c r="S120" s="769">
        <f t="shared" si="73"/>
        <v>0</v>
      </c>
      <c r="T120" s="642"/>
      <c r="U120" s="567"/>
      <c r="V120" s="2984"/>
      <c r="W120" s="2982"/>
      <c r="Y120" s="690"/>
      <c r="Z120" s="629">
        <f>重み!D120</f>
        <v>0</v>
      </c>
      <c r="AA120" s="690"/>
      <c r="AB120" s="629">
        <f>重み!E120</f>
        <v>0</v>
      </c>
      <c r="AC120" s="617"/>
      <c r="AD120" s="567"/>
      <c r="AE120" s="596">
        <f>重み!M120</f>
        <v>0</v>
      </c>
      <c r="AF120" s="581"/>
      <c r="AG120" s="596">
        <f>重み!N120</f>
        <v>0</v>
      </c>
    </row>
    <row r="121" spans="2:61" ht="14.25" customHeight="1" thickBot="1">
      <c r="B121" s="770" t="s">
        <v>1261</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t="e">
        <f>ROUNDDOWN(AC121,1)</f>
        <v>#VALUE!</v>
      </c>
      <c r="U121" s="567"/>
      <c r="V121" s="742"/>
      <c r="W121" s="2982"/>
      <c r="Y121" s="690"/>
      <c r="Z121" s="2611">
        <f>重み!D121</f>
        <v>0</v>
      </c>
      <c r="AA121" s="690"/>
      <c r="AB121" s="2611"/>
      <c r="AC121" s="3017" t="e">
        <f>Z122*AC122+Z145*AC145+Z172*AC172</f>
        <v>#VALUE!</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t="e">
        <f>ROUNDDOWN(AW121,1)</f>
        <v>#VALUE!</v>
      </c>
      <c r="AW121" s="2354" t="e">
        <f>AT122*AW122+AT145*AW145+AT172*AW172</f>
        <v>#VALUE!</v>
      </c>
    </row>
    <row r="122" spans="2:61" ht="14.25" customHeight="1" thickBot="1">
      <c r="B122" s="781" t="s">
        <v>1262</v>
      </c>
      <c r="C122" s="619" t="s">
        <v>1263</v>
      </c>
      <c r="D122" s="619"/>
      <c r="E122" s="619"/>
      <c r="F122" s="782"/>
      <c r="G122" s="2552"/>
      <c r="H122" s="2552"/>
      <c r="I122" s="621"/>
      <c r="J122" s="622"/>
      <c r="K122" s="622"/>
      <c r="L122" s="622"/>
      <c r="M122" s="623"/>
      <c r="N122" s="783"/>
      <c r="O122" s="783">
        <f t="shared" si="46"/>
        <v>0</v>
      </c>
      <c r="P122" s="625" t="e">
        <f t="shared" si="72"/>
        <v>#VALUE!</v>
      </c>
      <c r="Q122" s="626"/>
      <c r="R122" s="626">
        <f t="shared" si="47"/>
        <v>0</v>
      </c>
      <c r="S122" s="627">
        <f t="shared" si="73"/>
        <v>0</v>
      </c>
      <c r="T122" s="628">
        <f>ROUNDDOWN(AC122,1)</f>
        <v>3</v>
      </c>
      <c r="U122" s="567"/>
      <c r="V122" s="742"/>
      <c r="W122" s="2982"/>
      <c r="Y122" s="690"/>
      <c r="Z122" s="629" t="e">
        <f>重み!D122</f>
        <v>#VALUE!</v>
      </c>
      <c r="AA122" s="690"/>
      <c r="AB122" s="629"/>
      <c r="AC122" s="3017">
        <f>AC123*Z123+AC124*Z124+AC129*Z129+AC138*Z138</f>
        <v>3</v>
      </c>
      <c r="AD122" s="567"/>
      <c r="AE122" s="596">
        <f>重み!M122</f>
        <v>0.4</v>
      </c>
      <c r="AF122" s="581"/>
      <c r="AG122" s="596">
        <f>重み!N122</f>
        <v>0</v>
      </c>
      <c r="AI122" s="2336"/>
      <c r="AJ122" s="2336"/>
      <c r="AK122" s="2336"/>
      <c r="AL122" s="2336"/>
      <c r="AM122" s="2336"/>
      <c r="AN122" s="2336"/>
      <c r="AO122" s="2336"/>
      <c r="AP122" s="2336"/>
      <c r="AQ122" s="2336"/>
      <c r="AR122" s="2342"/>
      <c r="AS122" s="2349"/>
      <c r="AT122" s="2350" t="e">
        <f>P122</f>
        <v>#VALUE!</v>
      </c>
      <c r="AU122" s="628">
        <f>ROUNDDOWN(AW122,1)</f>
        <v>3</v>
      </c>
      <c r="AW122" s="2354">
        <f>SUMPRODUCT(AT123:AT144,AW123:AW144)</f>
        <v>3</v>
      </c>
    </row>
    <row r="123" spans="2:61" ht="14.25" customHeight="1" thickBot="1">
      <c r="B123" s="631">
        <v>1</v>
      </c>
      <c r="C123" s="633" t="s">
        <v>2182</v>
      </c>
      <c r="D123" s="633"/>
      <c r="E123" s="633"/>
      <c r="F123" s="784"/>
      <c r="G123" s="2556" t="s">
        <v>3240</v>
      </c>
      <c r="H123" s="2556" t="s">
        <v>3240</v>
      </c>
      <c r="I123" s="3842"/>
      <c r="J123" s="3843"/>
      <c r="K123" s="3843"/>
      <c r="L123" s="3843"/>
      <c r="M123" s="3844"/>
      <c r="N123" s="2947">
        <v>3</v>
      </c>
      <c r="O123" s="785">
        <f t="shared" si="46"/>
        <v>0</v>
      </c>
      <c r="P123" s="728">
        <f t="shared" si="72"/>
        <v>0</v>
      </c>
      <c r="Q123" s="2787"/>
      <c r="R123" s="2787">
        <f t="shared" si="47"/>
        <v>0</v>
      </c>
      <c r="S123" s="641">
        <f t="shared" si="73"/>
        <v>0</v>
      </c>
      <c r="T123" s="642">
        <f>ROUNDDOWN(AC123,1)</f>
        <v>0</v>
      </c>
      <c r="U123" s="567"/>
      <c r="V123" s="2621">
        <f>採点LR1!F16</f>
        <v>0</v>
      </c>
      <c r="W123" s="2982"/>
      <c r="Y123" s="2979">
        <f t="shared" ref="Y123" si="79">IF($Y$3=4,N123,V123)</f>
        <v>0</v>
      </c>
      <c r="Z123" s="2611">
        <f>重み!D123</f>
        <v>0</v>
      </c>
      <c r="AA123" s="2979">
        <f t="shared" ref="AA123:AA129" si="80">IF($Y$3=4,Q123,W123)</f>
        <v>0</v>
      </c>
      <c r="AB123" s="2611">
        <f>重み!E123</f>
        <v>0</v>
      </c>
      <c r="AC123" s="2610">
        <f>IF(AA123=0,Y123,Y123*AE$6+AA123*AG$6)</f>
        <v>0</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0</v>
      </c>
      <c r="AT123" s="810">
        <f>P123</f>
        <v>0</v>
      </c>
      <c r="AU123" s="677"/>
      <c r="AV123" s="2329"/>
      <c r="AW123" s="2378">
        <f>V123</f>
        <v>0</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1264</v>
      </c>
      <c r="D124" s="671"/>
      <c r="E124" s="671"/>
      <c r="F124" s="787"/>
      <c r="G124" s="2555" t="s">
        <v>3241</v>
      </c>
      <c r="H124" s="2555" t="s">
        <v>3241</v>
      </c>
      <c r="I124" s="3842"/>
      <c r="J124" s="3843"/>
      <c r="K124" s="3843"/>
      <c r="L124" s="3843"/>
      <c r="M124" s="3844"/>
      <c r="N124" s="2947">
        <v>3</v>
      </c>
      <c r="O124" s="785">
        <f t="shared" si="46"/>
        <v>3</v>
      </c>
      <c r="P124" s="755">
        <f t="shared" si="72"/>
        <v>0.125</v>
      </c>
      <c r="Q124" s="2786"/>
      <c r="R124" s="2786">
        <f t="shared" si="47"/>
        <v>0</v>
      </c>
      <c r="S124" s="676">
        <f t="shared" si="73"/>
        <v>0</v>
      </c>
      <c r="T124" s="677">
        <f>ROUNDDOWN(AC124,1)</f>
        <v>3</v>
      </c>
      <c r="U124" s="567"/>
      <c r="V124" s="2234">
        <f>採点LR1!F28</f>
        <v>3</v>
      </c>
      <c r="W124" s="2982"/>
      <c r="Y124" s="2979">
        <f>IF($Y$3=4,N124,V124)</f>
        <v>3</v>
      </c>
      <c r="Z124" s="2611">
        <f>重み!D124</f>
        <v>0.125</v>
      </c>
      <c r="AA124" s="2979">
        <f t="shared" si="80"/>
        <v>0</v>
      </c>
      <c r="AB124" s="2611">
        <f>重み!E124</f>
        <v>0</v>
      </c>
      <c r="AC124" s="2610">
        <f>IF(AA124=0,Y124,Y124*AE$6+AA124*AG$6)</f>
        <v>3</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f>P124</f>
        <v>0.125</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842"/>
      <c r="J125" s="3843"/>
      <c r="K125" s="3843"/>
      <c r="L125" s="3843"/>
      <c r="M125" s="3844"/>
      <c r="N125" s="2948">
        <v>0</v>
      </c>
      <c r="O125" s="658">
        <f t="shared" si="46"/>
        <v>0</v>
      </c>
      <c r="P125" s="659">
        <f t="shared" ref="P125:P131" si="83">Z125</f>
        <v>0</v>
      </c>
      <c r="Q125" s="2788"/>
      <c r="R125" s="2788">
        <f t="shared" si="47"/>
        <v>0</v>
      </c>
      <c r="S125" s="641">
        <f t="shared" ref="S125:S131" si="84">AB125</f>
        <v>0</v>
      </c>
      <c r="T125" s="654"/>
      <c r="U125" s="567"/>
      <c r="W125" s="2982"/>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831"/>
      <c r="J126" s="3832"/>
      <c r="K126" s="3832"/>
      <c r="L126" s="3832"/>
      <c r="M126" s="3833"/>
      <c r="N126" s="2950">
        <v>0</v>
      </c>
      <c r="O126" s="670">
        <f t="shared" si="46"/>
        <v>0</v>
      </c>
      <c r="P126" s="659">
        <f t="shared" si="83"/>
        <v>0</v>
      </c>
      <c r="Q126" s="2788"/>
      <c r="R126" s="2788">
        <f t="shared" si="47"/>
        <v>0</v>
      </c>
      <c r="S126" s="641">
        <f t="shared" ref="S126:S128" si="85">AB126</f>
        <v>0</v>
      </c>
      <c r="T126" s="642"/>
      <c r="U126" s="567"/>
      <c r="W126" s="2982"/>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831"/>
      <c r="J127" s="3832"/>
      <c r="K127" s="3832"/>
      <c r="L127" s="3832"/>
      <c r="M127" s="3833"/>
      <c r="N127" s="2902">
        <v>0</v>
      </c>
      <c r="O127" s="752">
        <f t="shared" si="46"/>
        <v>0</v>
      </c>
      <c r="P127" s="659">
        <f t="shared" si="83"/>
        <v>0</v>
      </c>
      <c r="Q127" s="2788"/>
      <c r="R127" s="2788">
        <f t="shared" si="47"/>
        <v>0</v>
      </c>
      <c r="S127" s="641">
        <f t="shared" si="85"/>
        <v>0</v>
      </c>
      <c r="T127" s="642"/>
      <c r="U127" s="567"/>
      <c r="W127" s="2982"/>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849"/>
      <c r="J128" s="3850"/>
      <c r="K128" s="3850"/>
      <c r="L128" s="3850"/>
      <c r="M128" s="3851"/>
      <c r="N128" s="2950">
        <v>0</v>
      </c>
      <c r="O128" s="670">
        <f t="shared" si="46"/>
        <v>0</v>
      </c>
      <c r="P128" s="659">
        <f t="shared" si="83"/>
        <v>0</v>
      </c>
      <c r="Q128" s="2788"/>
      <c r="R128" s="2788">
        <f t="shared" si="47"/>
        <v>0</v>
      </c>
      <c r="S128" s="641">
        <f t="shared" si="85"/>
        <v>0</v>
      </c>
      <c r="T128" s="723"/>
      <c r="U128" s="567"/>
      <c r="W128" s="2982"/>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1269</v>
      </c>
      <c r="D129" s="671"/>
      <c r="E129" s="671"/>
      <c r="F129" s="787"/>
      <c r="G129" s="2554"/>
      <c r="H129" s="2554"/>
      <c r="I129" s="2881" t="str">
        <f>計画書!G23</f>
        <v xml:space="preserve">[BEI][BEIm] = </v>
      </c>
      <c r="J129" s="2880">
        <f>計画書!H23</f>
        <v>0.8</v>
      </c>
      <c r="K129" s="3861"/>
      <c r="L129" s="3861"/>
      <c r="M129" s="3862"/>
      <c r="N129" s="2947">
        <v>3</v>
      </c>
      <c r="O129" s="785">
        <f t="shared" si="46"/>
        <v>3</v>
      </c>
      <c r="P129" s="755">
        <f t="shared" si="83"/>
        <v>0.625</v>
      </c>
      <c r="Q129" s="2789"/>
      <c r="R129" s="2789">
        <f t="shared" si="47"/>
        <v>0</v>
      </c>
      <c r="S129" s="676">
        <f t="shared" si="84"/>
        <v>0</v>
      </c>
      <c r="T129" s="677">
        <f>ROUNDDOWN(AC129,1)</f>
        <v>3</v>
      </c>
      <c r="U129" s="567"/>
      <c r="V129" s="2621">
        <f>採点LR1!F47</f>
        <v>3</v>
      </c>
      <c r="W129" s="2982"/>
      <c r="Y129" s="2979">
        <f>IF($Y$3=4,N129,V129)</f>
        <v>3</v>
      </c>
      <c r="Z129" s="2611">
        <f>重み!D129</f>
        <v>0.625</v>
      </c>
      <c r="AA129" s="2979">
        <f t="shared" si="80"/>
        <v>0</v>
      </c>
      <c r="AB129" s="2611">
        <f>重み!E129</f>
        <v>0</v>
      </c>
      <c r="AC129" s="2610">
        <f>IF(AA129=0,Y129,Y129*AE$6+AA129*AG$6)</f>
        <v>3</v>
      </c>
      <c r="AD129" s="567"/>
      <c r="AE129" s="596">
        <f>重み!M129</f>
        <v>0.5</v>
      </c>
      <c r="AF129" s="581"/>
      <c r="AG129" s="596">
        <f>重み!N129</f>
        <v>0</v>
      </c>
      <c r="AI129" s="2358"/>
      <c r="AJ129" s="2358"/>
      <c r="AK129" s="2358"/>
      <c r="AL129" s="2358"/>
      <c r="AM129" s="2358"/>
      <c r="AN129" s="2358"/>
      <c r="AO129" s="2358"/>
      <c r="AP129" s="2358"/>
      <c r="AQ129" s="2358"/>
      <c r="AR129" s="2358"/>
      <c r="AS129" s="2355">
        <f t="shared" si="81"/>
        <v>3</v>
      </c>
      <c r="AT129" s="810">
        <f>P129</f>
        <v>0.625</v>
      </c>
      <c r="AU129" s="677"/>
      <c r="AV129" s="2329"/>
      <c r="AW129" s="2378">
        <f>V129</f>
        <v>3</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2922</v>
      </c>
      <c r="E130" s="2650"/>
      <c r="F130" s="2651"/>
      <c r="G130" s="2664" t="s">
        <v>3242</v>
      </c>
      <c r="H130" s="2553"/>
      <c r="I130" s="3842"/>
      <c r="J130" s="3843"/>
      <c r="K130" s="3843"/>
      <c r="L130" s="3843"/>
      <c r="M130" s="3844"/>
      <c r="N130" s="2948">
        <v>0</v>
      </c>
      <c r="O130" s="2612">
        <f t="shared" si="46"/>
        <v>0</v>
      </c>
      <c r="P130" s="2652">
        <f t="shared" si="83"/>
        <v>0</v>
      </c>
      <c r="Q130" s="2788"/>
      <c r="R130" s="2788">
        <f t="shared" si="47"/>
        <v>0</v>
      </c>
      <c r="S130" s="2665">
        <f t="shared" si="84"/>
        <v>0</v>
      </c>
      <c r="T130" s="2653"/>
      <c r="U130" s="2607"/>
      <c r="V130" s="2621"/>
      <c r="W130" s="2982"/>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2923</v>
      </c>
      <c r="E131" s="2650"/>
      <c r="F131" s="2651"/>
      <c r="G131" s="2553"/>
      <c r="H131" s="2567" t="s">
        <v>3242</v>
      </c>
      <c r="I131" s="3831"/>
      <c r="J131" s="3832"/>
      <c r="K131" s="3832"/>
      <c r="L131" s="3832"/>
      <c r="M131" s="3833"/>
      <c r="N131" s="2952">
        <v>0</v>
      </c>
      <c r="O131" s="2615">
        <f t="shared" si="46"/>
        <v>0</v>
      </c>
      <c r="P131" s="2652">
        <f t="shared" si="83"/>
        <v>0</v>
      </c>
      <c r="Q131" s="2788"/>
      <c r="R131" s="2788">
        <f t="shared" si="47"/>
        <v>0</v>
      </c>
      <c r="S131" s="2665">
        <f t="shared" si="84"/>
        <v>0</v>
      </c>
      <c r="T131" s="2653"/>
      <c r="U131" s="2607"/>
      <c r="V131" s="2622"/>
      <c r="W131" s="2982"/>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1270</v>
      </c>
      <c r="E132" s="2650"/>
      <c r="F132" s="2651"/>
      <c r="G132" s="2668"/>
      <c r="H132" s="2668"/>
      <c r="I132" s="3831"/>
      <c r="J132" s="3832"/>
      <c r="K132" s="3832"/>
      <c r="L132" s="3832"/>
      <c r="M132" s="3833"/>
      <c r="N132" s="2948">
        <v>0</v>
      </c>
      <c r="O132" s="2612">
        <f t="shared" si="46"/>
        <v>0</v>
      </c>
      <c r="P132" s="2652">
        <f t="shared" si="72"/>
        <v>0</v>
      </c>
      <c r="Q132" s="2788"/>
      <c r="R132" s="2788">
        <f t="shared" si="47"/>
        <v>0</v>
      </c>
      <c r="S132" s="2665">
        <f t="shared" si="73"/>
        <v>0</v>
      </c>
      <c r="T132" s="2653"/>
      <c r="U132" s="2607"/>
      <c r="V132" s="2621">
        <f>採点LR1!F76</f>
        <v>0</v>
      </c>
      <c r="W132" s="2982"/>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1271</v>
      </c>
      <c r="E133" s="2650"/>
      <c r="F133" s="2651"/>
      <c r="G133" s="2668"/>
      <c r="H133" s="2668"/>
      <c r="I133" s="3831"/>
      <c r="J133" s="3832"/>
      <c r="K133" s="3832"/>
      <c r="L133" s="3832"/>
      <c r="M133" s="3833"/>
      <c r="N133" s="2949">
        <v>0</v>
      </c>
      <c r="O133" s="2618">
        <f t="shared" si="46"/>
        <v>0</v>
      </c>
      <c r="P133" s="2652">
        <f t="shared" si="72"/>
        <v>0</v>
      </c>
      <c r="Q133" s="2968"/>
      <c r="R133" s="2788">
        <f t="shared" si="47"/>
        <v>0</v>
      </c>
      <c r="S133" s="2665">
        <f t="shared" si="73"/>
        <v>0</v>
      </c>
      <c r="T133" s="2653"/>
      <c r="U133" s="2607"/>
      <c r="V133" s="2990"/>
      <c r="W133" s="2990"/>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1272</v>
      </c>
      <c r="E134" s="2650"/>
      <c r="F134" s="2651"/>
      <c r="G134" s="2668"/>
      <c r="H134" s="2668"/>
      <c r="I134" s="3831"/>
      <c r="J134" s="3832"/>
      <c r="K134" s="3832"/>
      <c r="L134" s="3832"/>
      <c r="M134" s="3833"/>
      <c r="N134" s="2949">
        <v>0</v>
      </c>
      <c r="O134" s="2618">
        <f t="shared" si="46"/>
        <v>0</v>
      </c>
      <c r="P134" s="2652">
        <f t="shared" si="72"/>
        <v>0</v>
      </c>
      <c r="Q134" s="2968"/>
      <c r="R134" s="2788">
        <f t="shared" si="47"/>
        <v>0</v>
      </c>
      <c r="S134" s="2665">
        <f t="shared" si="73"/>
        <v>0</v>
      </c>
      <c r="T134" s="2653"/>
      <c r="U134" s="2607"/>
      <c r="V134" s="2622">
        <f>採点LR1!F87</f>
        <v>0</v>
      </c>
      <c r="W134" s="2990"/>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1273</v>
      </c>
      <c r="E135" s="2650"/>
      <c r="F135" s="2651"/>
      <c r="G135" s="2668"/>
      <c r="H135" s="2668"/>
      <c r="I135" s="3831"/>
      <c r="J135" s="3832"/>
      <c r="K135" s="3832"/>
      <c r="L135" s="3832"/>
      <c r="M135" s="3833"/>
      <c r="N135" s="2949">
        <v>0</v>
      </c>
      <c r="O135" s="2618">
        <f t="shared" si="46"/>
        <v>0</v>
      </c>
      <c r="P135" s="2652">
        <f t="shared" si="72"/>
        <v>0</v>
      </c>
      <c r="Q135" s="2968"/>
      <c r="R135" s="2788">
        <f t="shared" si="47"/>
        <v>0</v>
      </c>
      <c r="S135" s="2665">
        <f t="shared" si="73"/>
        <v>0</v>
      </c>
      <c r="T135" s="2653"/>
      <c r="U135" s="2607"/>
      <c r="V135" s="2986"/>
      <c r="W135" s="2982"/>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1274</v>
      </c>
      <c r="E136" s="2650"/>
      <c r="F136" s="2651"/>
      <c r="G136" s="2668"/>
      <c r="H136" s="2668"/>
      <c r="I136" s="3831"/>
      <c r="J136" s="3832"/>
      <c r="K136" s="3832"/>
      <c r="L136" s="3832"/>
      <c r="M136" s="3833"/>
      <c r="N136" s="2949">
        <v>0</v>
      </c>
      <c r="O136" s="2618">
        <f t="shared" si="46"/>
        <v>0</v>
      </c>
      <c r="P136" s="2669">
        <f t="shared" si="72"/>
        <v>0</v>
      </c>
      <c r="Q136" s="2968"/>
      <c r="R136" s="2788">
        <f t="shared" si="47"/>
        <v>0</v>
      </c>
      <c r="S136" s="2665">
        <f t="shared" si="73"/>
        <v>0</v>
      </c>
      <c r="T136" s="2653"/>
      <c r="U136" s="2607"/>
      <c r="V136" s="2987"/>
      <c r="W136" s="2982"/>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1938</v>
      </c>
      <c r="E137" s="2650"/>
      <c r="F137" s="2651"/>
      <c r="G137" s="2668"/>
      <c r="H137" s="2668"/>
      <c r="I137" s="3849"/>
      <c r="J137" s="3850"/>
      <c r="K137" s="3850"/>
      <c r="L137" s="3850"/>
      <c r="M137" s="3851"/>
      <c r="N137" s="2952">
        <v>0</v>
      </c>
      <c r="O137" s="2615">
        <f t="shared" si="46"/>
        <v>0</v>
      </c>
      <c r="P137" s="2671">
        <f t="shared" si="72"/>
        <v>0</v>
      </c>
      <c r="Q137" s="2779"/>
      <c r="R137" s="2970">
        <f t="shared" si="47"/>
        <v>0</v>
      </c>
      <c r="S137" s="2665">
        <f t="shared" si="73"/>
        <v>0</v>
      </c>
      <c r="T137" s="2653"/>
      <c r="U137" s="2607"/>
      <c r="V137" s="2623"/>
      <c r="W137" s="2990"/>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1275</v>
      </c>
      <c r="D138" s="633"/>
      <c r="E138" s="633"/>
      <c r="F138" s="635"/>
      <c r="G138" s="2554"/>
      <c r="H138" s="2554"/>
      <c r="I138" s="636"/>
      <c r="J138" s="637"/>
      <c r="K138" s="637"/>
      <c r="L138" s="637"/>
      <c r="M138" s="638"/>
      <c r="N138" s="2965">
        <f t="shared" ref="N138:N139" si="87">ROUNDDOWN(Y138,1)</f>
        <v>3</v>
      </c>
      <c r="O138" s="2221">
        <f t="shared" si="46"/>
        <v>3</v>
      </c>
      <c r="P138" s="675">
        <f t="shared" si="72"/>
        <v>0.25</v>
      </c>
      <c r="Q138" s="2969">
        <f t="shared" ref="Q138:Q139" si="88">ROUNDDOWN(AA138,1)</f>
        <v>0</v>
      </c>
      <c r="R138" s="2789">
        <f t="shared" si="47"/>
        <v>0</v>
      </c>
      <c r="S138" s="676">
        <f t="shared" ref="S138:S139" si="89">AB138</f>
        <v>0</v>
      </c>
      <c r="T138" s="677">
        <f>ROUNDDOWN(AC138,1)</f>
        <v>3</v>
      </c>
      <c r="U138" s="567"/>
      <c r="V138" s="742"/>
      <c r="W138" s="2982"/>
      <c r="Y138" s="2978">
        <f>Y139*Z139+Y142*Z142</f>
        <v>3</v>
      </c>
      <c r="Z138" s="2611">
        <f>重み!D138</f>
        <v>0.25</v>
      </c>
      <c r="AA138" s="2978">
        <f>AA139*AB139+AA142*AB142</f>
        <v>0</v>
      </c>
      <c r="AB138" s="644">
        <f>SUM(AB139,AB142)</f>
        <v>0</v>
      </c>
      <c r="AC138" s="617">
        <f>IF(AA138=0,Y138,Y138*AE$6+AA138*AG$6)</f>
        <v>3</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f>P138</f>
        <v>0.25</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1025</v>
      </c>
      <c r="E139" s="647"/>
      <c r="F139" s="680"/>
      <c r="G139" s="2553"/>
      <c r="H139" s="2553"/>
      <c r="I139" s="650"/>
      <c r="J139" s="651"/>
      <c r="K139" s="651"/>
      <c r="L139" s="651"/>
      <c r="M139" s="3010"/>
      <c r="N139" s="3016">
        <f t="shared" si="87"/>
        <v>3</v>
      </c>
      <c r="O139" s="695">
        <f t="shared" ref="O139:O193" si="91">ROUNDDOWN(Y139,1)</f>
        <v>3</v>
      </c>
      <c r="P139" s="640">
        <f t="shared" si="72"/>
        <v>1</v>
      </c>
      <c r="Q139" s="2779">
        <f t="shared" si="88"/>
        <v>0</v>
      </c>
      <c r="R139" s="2970">
        <f t="shared" ref="R139:R194" si="92">ROUNDDOWN(AA139,1)</f>
        <v>0</v>
      </c>
      <c r="S139" s="641">
        <f t="shared" si="89"/>
        <v>0</v>
      </c>
      <c r="T139" s="642"/>
      <c r="U139" s="567"/>
      <c r="V139" s="742"/>
      <c r="W139" s="2982"/>
      <c r="Y139" s="643">
        <f>SUMPRODUCT(Y140:Y141,Z140:Z141)</f>
        <v>3</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1011</v>
      </c>
      <c r="F140" s="685"/>
      <c r="G140" s="2556" t="s">
        <v>3243</v>
      </c>
      <c r="H140" s="2553"/>
      <c r="I140" s="3831"/>
      <c r="J140" s="3832"/>
      <c r="K140" s="3832"/>
      <c r="L140" s="3832"/>
      <c r="M140" s="3833"/>
      <c r="N140" s="2948">
        <v>3</v>
      </c>
      <c r="O140" s="658">
        <f t="shared" si="91"/>
        <v>3</v>
      </c>
      <c r="P140" s="728">
        <f t="shared" si="72"/>
        <v>0.5</v>
      </c>
      <c r="Q140" s="2780"/>
      <c r="R140" s="2968">
        <f t="shared" si="92"/>
        <v>0</v>
      </c>
      <c r="S140" s="641">
        <f t="shared" si="73"/>
        <v>0</v>
      </c>
      <c r="T140" s="642"/>
      <c r="U140" s="567"/>
      <c r="V140" s="2621">
        <f>採点LR1!F101</f>
        <v>3</v>
      </c>
      <c r="W140" s="2990"/>
      <c r="Y140" s="660">
        <f t="shared" ref="Y140:Y141" si="93">IF($Y$3=4,N140,V140)</f>
        <v>3</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1019</v>
      </c>
      <c r="F141" s="685"/>
      <c r="G141" s="2556" t="s">
        <v>3243</v>
      </c>
      <c r="H141" s="2553"/>
      <c r="I141" s="3831"/>
      <c r="J141" s="3832"/>
      <c r="K141" s="3832"/>
      <c r="L141" s="3832"/>
      <c r="M141" s="3833"/>
      <c r="N141" s="2952">
        <v>3</v>
      </c>
      <c r="O141" s="663">
        <f t="shared" si="91"/>
        <v>3</v>
      </c>
      <c r="P141" s="728">
        <f t="shared" si="72"/>
        <v>0.5</v>
      </c>
      <c r="Q141" s="2780"/>
      <c r="R141" s="2968">
        <f t="shared" si="92"/>
        <v>0</v>
      </c>
      <c r="S141" s="641">
        <f t="shared" si="73"/>
        <v>0</v>
      </c>
      <c r="T141" s="642"/>
      <c r="U141" s="567"/>
      <c r="V141" s="2622">
        <f>採点LR1!F131</f>
        <v>3</v>
      </c>
      <c r="W141" s="2990"/>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1026</v>
      </c>
      <c r="E142" s="647"/>
      <c r="F142" s="680"/>
      <c r="G142" s="2589"/>
      <c r="H142" s="2589"/>
      <c r="I142" s="636"/>
      <c r="J142" s="637"/>
      <c r="K142" s="637"/>
      <c r="L142" s="637"/>
      <c r="M142" s="638"/>
      <c r="N142" s="695">
        <f>ROUNDDOWN(Y142,1)</f>
        <v>0</v>
      </c>
      <c r="O142" s="695">
        <f t="shared" si="91"/>
        <v>0</v>
      </c>
      <c r="P142" s="640">
        <f>Z142</f>
        <v>0</v>
      </c>
      <c r="Q142" s="2779">
        <f>ROUNDDOWN(AA142,1)</f>
        <v>0</v>
      </c>
      <c r="R142" s="2970">
        <f t="shared" si="92"/>
        <v>0</v>
      </c>
      <c r="S142" s="641">
        <f t="shared" ref="S142" si="95">AB142</f>
        <v>0</v>
      </c>
      <c r="T142" s="642"/>
      <c r="U142" s="567"/>
      <c r="V142" s="742"/>
      <c r="W142" s="2982"/>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1011</v>
      </c>
      <c r="F143" s="685"/>
      <c r="G143" s="2589"/>
      <c r="H143" s="2556" t="s">
        <v>3243</v>
      </c>
      <c r="I143" s="3831"/>
      <c r="J143" s="3832"/>
      <c r="K143" s="3832"/>
      <c r="L143" s="3832"/>
      <c r="M143" s="3833"/>
      <c r="N143" s="2948">
        <v>0</v>
      </c>
      <c r="O143" s="658">
        <f t="shared" si="91"/>
        <v>3</v>
      </c>
      <c r="P143" s="728">
        <f t="shared" si="72"/>
        <v>0</v>
      </c>
      <c r="Q143" s="2780"/>
      <c r="R143" s="2968">
        <f t="shared" si="92"/>
        <v>0</v>
      </c>
      <c r="S143" s="641">
        <f t="shared" si="73"/>
        <v>0</v>
      </c>
      <c r="T143" s="642"/>
      <c r="U143" s="567"/>
      <c r="V143" s="2621">
        <f>採点LR1!K101</f>
        <v>3</v>
      </c>
      <c r="W143" s="2982"/>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1019</v>
      </c>
      <c r="F144" s="685"/>
      <c r="G144" s="2589"/>
      <c r="H144" s="2627" t="s">
        <v>3243</v>
      </c>
      <c r="I144" s="3831"/>
      <c r="J144" s="3832"/>
      <c r="K144" s="3832"/>
      <c r="L144" s="3832"/>
      <c r="M144" s="3833"/>
      <c r="N144" s="2952">
        <v>0</v>
      </c>
      <c r="O144" s="663">
        <f t="shared" si="91"/>
        <v>3</v>
      </c>
      <c r="P144" s="728">
        <f t="shared" si="72"/>
        <v>0</v>
      </c>
      <c r="Q144" s="2780"/>
      <c r="R144" s="2968">
        <f t="shared" si="92"/>
        <v>0</v>
      </c>
      <c r="S144" s="641">
        <f t="shared" si="73"/>
        <v>0</v>
      </c>
      <c r="T144" s="642"/>
      <c r="U144" s="567"/>
      <c r="V144" s="2622">
        <f>採点LR1!K131</f>
        <v>3</v>
      </c>
      <c r="W144" s="2982"/>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1940</v>
      </c>
      <c r="C145" s="749" t="s">
        <v>1941</v>
      </c>
      <c r="D145" s="749"/>
      <c r="E145" s="749"/>
      <c r="F145" s="750"/>
      <c r="G145" s="2628"/>
      <c r="H145" s="2629"/>
      <c r="I145" s="711"/>
      <c r="J145" s="712"/>
      <c r="K145" s="712"/>
      <c r="L145" s="712"/>
      <c r="M145" s="713"/>
      <c r="N145" s="714"/>
      <c r="O145" s="714">
        <f t="shared" si="91"/>
        <v>0</v>
      </c>
      <c r="P145" s="715" t="e">
        <f t="shared" si="72"/>
        <v>#VALUE!</v>
      </c>
      <c r="Q145" s="716"/>
      <c r="R145" s="2971">
        <f t="shared" si="92"/>
        <v>0</v>
      </c>
      <c r="S145" s="717">
        <f t="shared" si="73"/>
        <v>0</v>
      </c>
      <c r="T145" s="718">
        <f>ROUNDDOWN(AC145,1)</f>
        <v>3</v>
      </c>
      <c r="U145" s="567"/>
      <c r="V145" s="2984"/>
      <c r="W145" s="2982"/>
      <c r="Y145" s="690"/>
      <c r="Z145" s="629" t="e">
        <f>重み!D145</f>
        <v>#VALUE!</v>
      </c>
      <c r="AA145" s="690"/>
      <c r="AB145" s="629"/>
      <c r="AC145" s="3017">
        <f>AC146*Z146+AC151*Z151+Z166*AC166</f>
        <v>3.0466666666666669</v>
      </c>
      <c r="AD145" s="567"/>
      <c r="AE145" s="596">
        <f>重み!M145</f>
        <v>0.3</v>
      </c>
      <c r="AF145" s="581"/>
      <c r="AG145" s="596">
        <f>重み!N145</f>
        <v>0</v>
      </c>
      <c r="AI145" s="2375"/>
      <c r="AJ145" s="2361"/>
      <c r="AK145" s="2361"/>
      <c r="AL145" s="2361"/>
      <c r="AM145" s="2361"/>
      <c r="AN145" s="2361"/>
      <c r="AO145" s="2361"/>
      <c r="AP145" s="2361"/>
      <c r="AQ145" s="2361"/>
      <c r="AR145" s="2362"/>
      <c r="AS145" s="2363"/>
      <c r="AT145" s="2364" t="e">
        <f>P145</f>
        <v>#VALUE!</v>
      </c>
      <c r="AU145" s="718">
        <f>ROUNDDOWN(AW145,1)</f>
        <v>3</v>
      </c>
      <c r="AW145" s="2354">
        <f>SUMPRODUCT(AT146:AT171,AW146:AW171)</f>
        <v>3</v>
      </c>
    </row>
    <row r="146" spans="2:61" ht="14.25" customHeight="1" thickBot="1">
      <c r="B146" s="793">
        <v>1</v>
      </c>
      <c r="C146" s="633" t="s">
        <v>1277</v>
      </c>
      <c r="D146" s="633"/>
      <c r="E146" s="633"/>
      <c r="F146" s="635"/>
      <c r="G146" s="2587"/>
      <c r="H146" s="2630"/>
      <c r="I146" s="636"/>
      <c r="J146" s="637"/>
      <c r="K146" s="637"/>
      <c r="L146" s="637"/>
      <c r="M146" s="638"/>
      <c r="N146" s="695">
        <f>ROUNDDOWN(Y146,1)</f>
        <v>3</v>
      </c>
      <c r="O146" s="695">
        <f t="shared" si="91"/>
        <v>3</v>
      </c>
      <c r="P146" s="640">
        <f>Z146</f>
        <v>0.2</v>
      </c>
      <c r="Q146" s="2779">
        <f>ROUNDDOWN(AA146,1)</f>
        <v>0</v>
      </c>
      <c r="R146" s="2970">
        <f t="shared" si="92"/>
        <v>0</v>
      </c>
      <c r="S146" s="641">
        <f t="shared" ref="S146" si="98">AB146</f>
        <v>0</v>
      </c>
      <c r="T146" s="642">
        <f>ROUNDDOWN(AC146,1)</f>
        <v>3</v>
      </c>
      <c r="U146" s="567"/>
      <c r="V146" s="2987"/>
      <c r="W146" s="2982"/>
      <c r="Y146" s="2978">
        <f>Y147*Z147+Y148*Z148</f>
        <v>3</v>
      </c>
      <c r="Z146" s="2611">
        <f>重み!D146</f>
        <v>0.2</v>
      </c>
      <c r="AA146" s="2978">
        <f>AA147*AB147+AA148*AB148</f>
        <v>0</v>
      </c>
      <c r="AB146" s="644">
        <f>SUM(AB147,AB148)</f>
        <v>0</v>
      </c>
      <c r="AC146" s="617">
        <f>IF(AA146=0,Y146,IF(Y146=0,AA146,Y146*AE$6+AA146*AG$6))</f>
        <v>3</v>
      </c>
      <c r="AD146" s="567"/>
      <c r="AE146" s="596">
        <f>重み!M146</f>
        <v>0.2</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0.2</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1278</v>
      </c>
      <c r="E147" s="648"/>
      <c r="F147" s="685"/>
      <c r="G147" s="2586"/>
      <c r="H147" s="2631"/>
      <c r="I147" s="3842"/>
      <c r="J147" s="3843"/>
      <c r="K147" s="3843"/>
      <c r="L147" s="3843"/>
      <c r="M147" s="3844"/>
      <c r="N147" s="2947">
        <v>3</v>
      </c>
      <c r="O147" s="785">
        <f t="shared" si="91"/>
        <v>3</v>
      </c>
      <c r="P147" s="789">
        <f t="shared" si="72"/>
        <v>0.4</v>
      </c>
      <c r="Q147" s="2782"/>
      <c r="R147" s="2972">
        <f t="shared" si="92"/>
        <v>0</v>
      </c>
      <c r="S147" s="683">
        <f t="shared" si="73"/>
        <v>0</v>
      </c>
      <c r="T147" s="654"/>
      <c r="U147" s="567"/>
      <c r="V147" s="2621">
        <f>採点LR2!F8</f>
        <v>3</v>
      </c>
      <c r="W147" s="2990"/>
      <c r="Y147" s="2975">
        <f>IF($Y$3=4,N147,V147)</f>
        <v>3</v>
      </c>
      <c r="Z147" s="2611">
        <f>重み!D147</f>
        <v>0.4</v>
      </c>
      <c r="AA147" s="2975">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1279</v>
      </c>
      <c r="E148" s="647"/>
      <c r="F148" s="680"/>
      <c r="G148" s="2597"/>
      <c r="H148" s="2632"/>
      <c r="I148" s="636"/>
      <c r="J148" s="637"/>
      <c r="K148" s="637"/>
      <c r="L148" s="637"/>
      <c r="M148" s="638"/>
      <c r="N148" s="695">
        <f>ROUNDDOWN(Y148,1)</f>
        <v>3</v>
      </c>
      <c r="O148" s="695">
        <f t="shared" si="91"/>
        <v>3</v>
      </c>
      <c r="P148" s="640">
        <f>Z148</f>
        <v>0.6</v>
      </c>
      <c r="Q148" s="2779">
        <f>ROUNDDOWN(AA148,1)</f>
        <v>0</v>
      </c>
      <c r="R148" s="2970">
        <f t="shared" si="92"/>
        <v>0</v>
      </c>
      <c r="S148" s="641">
        <f t="shared" ref="S148" si="101">AB148</f>
        <v>0</v>
      </c>
      <c r="T148" s="642"/>
      <c r="U148" s="567"/>
      <c r="V148" s="795"/>
      <c r="W148" s="2982"/>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1280</v>
      </c>
      <c r="F149" s="685"/>
      <c r="G149" s="2586"/>
      <c r="H149" s="2631"/>
      <c r="I149" s="3831"/>
      <c r="J149" s="3832"/>
      <c r="K149" s="3832"/>
      <c r="L149" s="3832"/>
      <c r="M149" s="3833"/>
      <c r="N149" s="2948">
        <v>3</v>
      </c>
      <c r="O149" s="658">
        <f t="shared" si="91"/>
        <v>3</v>
      </c>
      <c r="P149" s="728">
        <f t="shared" ref="P149:P187" si="102">Z149</f>
        <v>0.7</v>
      </c>
      <c r="Q149" s="2780"/>
      <c r="R149" s="2968">
        <f t="shared" si="92"/>
        <v>0</v>
      </c>
      <c r="S149" s="641">
        <f t="shared" ref="S149:S189" si="103">AB149</f>
        <v>0</v>
      </c>
      <c r="T149" s="642"/>
      <c r="U149" s="567"/>
      <c r="V149" s="725">
        <f>採点LR2!F18</f>
        <v>3</v>
      </c>
      <c r="W149" s="2990"/>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847" t="s">
        <v>1281</v>
      </c>
      <c r="F150" s="3848"/>
      <c r="G150" s="2586"/>
      <c r="H150" s="2631"/>
      <c r="I150" s="3831"/>
      <c r="J150" s="3832"/>
      <c r="K150" s="3832"/>
      <c r="L150" s="3832"/>
      <c r="M150" s="3833"/>
      <c r="N150" s="2952">
        <v>3</v>
      </c>
      <c r="O150" s="663">
        <f t="shared" si="91"/>
        <v>3</v>
      </c>
      <c r="P150" s="728">
        <f t="shared" si="102"/>
        <v>0.3</v>
      </c>
      <c r="Q150" s="2780"/>
      <c r="R150" s="2968">
        <f t="shared" si="92"/>
        <v>0</v>
      </c>
      <c r="S150" s="641">
        <f t="shared" si="103"/>
        <v>0</v>
      </c>
      <c r="T150" s="642"/>
      <c r="U150" s="567"/>
      <c r="V150" s="725">
        <f>採点LR2!K18</f>
        <v>3</v>
      </c>
      <c r="W150" s="2990"/>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1282</v>
      </c>
      <c r="D151" s="2376"/>
      <c r="E151" s="2376"/>
      <c r="F151" s="680"/>
      <c r="G151" s="2564"/>
      <c r="H151" s="2633"/>
      <c r="I151" s="673"/>
      <c r="J151" s="2895"/>
      <c r="K151" s="2895"/>
      <c r="L151" s="2895"/>
      <c r="M151" s="2222"/>
      <c r="N151" s="695">
        <f>ROUNDDOWN(Y151,1)</f>
        <v>3</v>
      </c>
      <c r="O151" s="695">
        <f t="shared" si="91"/>
        <v>3</v>
      </c>
      <c r="P151" s="675">
        <f>Z151</f>
        <v>0.6</v>
      </c>
      <c r="Q151" s="2785">
        <f>ROUNDDOWN(AA151,1)</f>
        <v>0</v>
      </c>
      <c r="R151" s="2969">
        <f t="shared" si="92"/>
        <v>0</v>
      </c>
      <c r="S151" s="676">
        <f t="shared" si="103"/>
        <v>0</v>
      </c>
      <c r="T151" s="677">
        <f>ROUNDDOWN(AC151,1)</f>
        <v>3</v>
      </c>
      <c r="U151" s="567"/>
      <c r="V151" s="795"/>
      <c r="W151" s="2982"/>
      <c r="Y151" s="2978">
        <f>SUMPRODUCT(Y152:Y158,Z152:Z158)+Y165*Z165</f>
        <v>3.0000000000000004</v>
      </c>
      <c r="Z151" s="2611">
        <f>重み!D151</f>
        <v>0.6</v>
      </c>
      <c r="AA151" s="2978">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0.6</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1283</v>
      </c>
      <c r="E152" s="648"/>
      <c r="F152" s="685"/>
      <c r="G152" s="2586"/>
      <c r="H152" s="2634"/>
      <c r="I152" s="3842"/>
      <c r="J152" s="3843"/>
      <c r="K152" s="3843"/>
      <c r="L152" s="3843"/>
      <c r="M152" s="3844"/>
      <c r="N152" s="2948">
        <v>0</v>
      </c>
      <c r="O152" s="2612">
        <f t="shared" si="91"/>
        <v>3</v>
      </c>
      <c r="P152" s="728">
        <f t="shared" si="102"/>
        <v>0.1</v>
      </c>
      <c r="Q152" s="2780"/>
      <c r="R152" s="2968">
        <f t="shared" si="92"/>
        <v>0</v>
      </c>
      <c r="S152" s="641">
        <f t="shared" si="103"/>
        <v>0</v>
      </c>
      <c r="T152" s="642"/>
      <c r="U152" s="567"/>
      <c r="V152" s="2732">
        <f>採点LR2!F29</f>
        <v>3</v>
      </c>
      <c r="W152" s="2990"/>
      <c r="Y152" s="2975">
        <f t="shared" ref="Y152:Y157" si="107">IF($Y$3=4,N152,V152)</f>
        <v>3</v>
      </c>
      <c r="Z152" s="2611">
        <f>重み!D152</f>
        <v>0.1</v>
      </c>
      <c r="AA152" s="2975">
        <f t="shared" ref="AA152:AA157" si="108">IF($Y$3=4,Q152,W152)</f>
        <v>0</v>
      </c>
      <c r="AB152" s="2611">
        <f>重み!E152</f>
        <v>0</v>
      </c>
      <c r="AC152" s="2610"/>
      <c r="AD152" s="567"/>
      <c r="AE152" s="596">
        <f>重み!M152</f>
        <v>0.1</v>
      </c>
      <c r="AF152" s="581"/>
      <c r="AG152" s="596">
        <f>重み!N152</f>
        <v>0</v>
      </c>
      <c r="AS152" s="2377">
        <f t="shared" si="99"/>
        <v>0</v>
      </c>
    </row>
    <row r="153" spans="2:61" ht="14.25" customHeight="1">
      <c r="B153" s="698"/>
      <c r="C153" s="669">
        <v>2.2000000000000002</v>
      </c>
      <c r="D153" s="744" t="s">
        <v>1284</v>
      </c>
      <c r="E153" s="648"/>
      <c r="F153" s="685"/>
      <c r="G153" s="2586"/>
      <c r="H153" s="2634"/>
      <c r="I153" s="3831"/>
      <c r="J153" s="3832"/>
      <c r="K153" s="3832"/>
      <c r="L153" s="3832"/>
      <c r="M153" s="3833"/>
      <c r="N153" s="2949">
        <v>0</v>
      </c>
      <c r="O153" s="2618">
        <f t="shared" si="91"/>
        <v>3</v>
      </c>
      <c r="P153" s="728">
        <f t="shared" si="102"/>
        <v>0.2</v>
      </c>
      <c r="Q153" s="2780"/>
      <c r="R153" s="2968">
        <f t="shared" si="92"/>
        <v>0</v>
      </c>
      <c r="S153" s="641">
        <f t="shared" si="103"/>
        <v>0</v>
      </c>
      <c r="T153" s="642"/>
      <c r="U153" s="567"/>
      <c r="V153" s="799">
        <f>採点LR2!F51</f>
        <v>3</v>
      </c>
      <c r="W153" s="2982"/>
      <c r="Y153" s="2975">
        <f t="shared" si="107"/>
        <v>3</v>
      </c>
      <c r="Z153" s="2611">
        <f>重み!D153</f>
        <v>0.2</v>
      </c>
      <c r="AA153" s="2975">
        <f t="shared" si="108"/>
        <v>0</v>
      </c>
      <c r="AB153" s="2611">
        <f>重み!E153</f>
        <v>0</v>
      </c>
      <c r="AC153" s="2610"/>
      <c r="AD153" s="567"/>
      <c r="AE153" s="596">
        <f>重み!M153</f>
        <v>0.2</v>
      </c>
      <c r="AF153" s="581"/>
      <c r="AG153" s="596">
        <f>重み!N153</f>
        <v>0</v>
      </c>
      <c r="AS153" s="2377">
        <f t="shared" si="99"/>
        <v>0</v>
      </c>
    </row>
    <row r="154" spans="2:61" ht="14.25" customHeight="1">
      <c r="B154" s="694"/>
      <c r="C154" s="669">
        <v>2.2999999999999998</v>
      </c>
      <c r="D154" s="648" t="s">
        <v>1285</v>
      </c>
      <c r="E154" s="648"/>
      <c r="F154" s="685"/>
      <c r="G154" s="2586"/>
      <c r="H154" s="2634"/>
      <c r="I154" s="3831">
        <f>採点LR2!K67</f>
        <v>0</v>
      </c>
      <c r="J154" s="3832"/>
      <c r="K154" s="3832"/>
      <c r="L154" s="3832"/>
      <c r="M154" s="3833"/>
      <c r="N154" s="2954">
        <v>0</v>
      </c>
      <c r="O154" s="2618">
        <f t="shared" si="91"/>
        <v>3</v>
      </c>
      <c r="P154" s="728">
        <f t="shared" si="102"/>
        <v>0.2</v>
      </c>
      <c r="Q154" s="2780"/>
      <c r="R154" s="2968">
        <f t="shared" si="92"/>
        <v>0</v>
      </c>
      <c r="S154" s="641">
        <f t="shared" si="103"/>
        <v>0</v>
      </c>
      <c r="T154" s="642"/>
      <c r="U154" s="567"/>
      <c r="V154" s="798">
        <f>採点LR2!F60</f>
        <v>3</v>
      </c>
      <c r="W154" s="2990"/>
      <c r="Y154" s="2975">
        <f t="shared" si="107"/>
        <v>3</v>
      </c>
      <c r="Z154" s="2611">
        <f>重み!D154</f>
        <v>0.2</v>
      </c>
      <c r="AA154" s="2975">
        <f t="shared" si="108"/>
        <v>0</v>
      </c>
      <c r="AB154" s="2611">
        <f>重み!E154</f>
        <v>0</v>
      </c>
      <c r="AC154" s="2610"/>
      <c r="AD154" s="567"/>
      <c r="AE154" s="596">
        <f>重み!M154</f>
        <v>0.2</v>
      </c>
      <c r="AF154" s="581"/>
      <c r="AG154" s="596">
        <f>重み!N154</f>
        <v>0</v>
      </c>
      <c r="AS154" s="2377">
        <f t="shared" si="99"/>
        <v>0</v>
      </c>
    </row>
    <row r="155" spans="2:61" ht="14.25" customHeight="1">
      <c r="B155" s="694"/>
      <c r="C155" s="669">
        <v>2.4</v>
      </c>
      <c r="D155" s="3834" t="s">
        <v>66</v>
      </c>
      <c r="E155" s="3835"/>
      <c r="F155" s="3848"/>
      <c r="G155" s="2597"/>
      <c r="H155" s="2635"/>
      <c r="I155" s="3831">
        <f>採点LR2!K92</f>
        <v>0</v>
      </c>
      <c r="J155" s="3832"/>
      <c r="K155" s="3832"/>
      <c r="L155" s="3832"/>
      <c r="M155" s="3833"/>
      <c r="N155" s="2954">
        <v>3</v>
      </c>
      <c r="O155" s="2618">
        <f t="shared" si="91"/>
        <v>3</v>
      </c>
      <c r="P155" s="728">
        <f t="shared" si="102"/>
        <v>0.2</v>
      </c>
      <c r="Q155" s="2780"/>
      <c r="R155" s="2968">
        <f t="shared" si="92"/>
        <v>0</v>
      </c>
      <c r="S155" s="641">
        <f t="shared" si="103"/>
        <v>0</v>
      </c>
      <c r="T155" s="642"/>
      <c r="U155" s="567"/>
      <c r="V155" s="798">
        <f>採点LR2!F85</f>
        <v>3</v>
      </c>
      <c r="W155" s="2990"/>
      <c r="Y155" s="2975">
        <f t="shared" si="107"/>
        <v>3</v>
      </c>
      <c r="Z155" s="2611">
        <f>重み!D155</f>
        <v>0.2</v>
      </c>
      <c r="AA155" s="2975">
        <f t="shared" si="108"/>
        <v>0</v>
      </c>
      <c r="AB155" s="2611">
        <f>重み!E155</f>
        <v>0</v>
      </c>
      <c r="AC155" s="2610"/>
      <c r="AD155" s="567"/>
      <c r="AE155" s="596">
        <f>重み!M155</f>
        <v>0.2</v>
      </c>
      <c r="AF155" s="581"/>
      <c r="AG155" s="596">
        <f>重み!N155</f>
        <v>0</v>
      </c>
      <c r="AS155" s="2377">
        <f t="shared" si="99"/>
        <v>0</v>
      </c>
    </row>
    <row r="156" spans="2:61" ht="14.25" customHeight="1">
      <c r="B156" s="694"/>
      <c r="C156" s="669">
        <v>2.5</v>
      </c>
      <c r="D156" s="744" t="s">
        <v>1286</v>
      </c>
      <c r="E156" s="648"/>
      <c r="F156" s="685"/>
      <c r="G156" s="2586"/>
      <c r="H156" s="2634"/>
      <c r="I156" s="3831"/>
      <c r="J156" s="3832"/>
      <c r="K156" s="3832"/>
      <c r="L156" s="3832"/>
      <c r="M156" s="3833"/>
      <c r="N156" s="2954">
        <v>3</v>
      </c>
      <c r="O156" s="2618">
        <f t="shared" si="91"/>
        <v>3</v>
      </c>
      <c r="P156" s="728">
        <f t="shared" si="102"/>
        <v>0.1</v>
      </c>
      <c r="Q156" s="2780"/>
      <c r="R156" s="2968">
        <f t="shared" si="92"/>
        <v>0</v>
      </c>
      <c r="S156" s="641">
        <f t="shared" si="103"/>
        <v>0</v>
      </c>
      <c r="T156" s="642"/>
      <c r="U156" s="567"/>
      <c r="V156" s="798">
        <f>採点LR2!F143</f>
        <v>3</v>
      </c>
      <c r="W156" s="2990"/>
      <c r="Y156" s="2975">
        <f t="shared" si="107"/>
        <v>3</v>
      </c>
      <c r="Z156" s="2611">
        <f>重み!D156</f>
        <v>0.1</v>
      </c>
      <c r="AA156" s="2975">
        <f t="shared" si="108"/>
        <v>0</v>
      </c>
      <c r="AB156" s="2611">
        <f>重み!E156</f>
        <v>0</v>
      </c>
      <c r="AC156" s="2610"/>
      <c r="AD156" s="567"/>
      <c r="AE156" s="596">
        <f>重み!M156</f>
        <v>0.1</v>
      </c>
      <c r="AF156" s="581"/>
      <c r="AG156" s="596">
        <f>重み!N156</f>
        <v>0</v>
      </c>
      <c r="AS156" s="2377">
        <f t="shared" si="99"/>
        <v>0</v>
      </c>
    </row>
    <row r="157" spans="2:61" ht="14.25" customHeight="1" thickBot="1">
      <c r="B157" s="694"/>
      <c r="C157" s="646">
        <v>2.6</v>
      </c>
      <c r="D157" s="744" t="s">
        <v>1287</v>
      </c>
      <c r="E157" s="648"/>
      <c r="F157" s="685"/>
      <c r="G157" s="2586"/>
      <c r="H157" s="2634"/>
      <c r="I157" s="3831"/>
      <c r="J157" s="3832"/>
      <c r="K157" s="3832"/>
      <c r="L157" s="3832"/>
      <c r="M157" s="3833"/>
      <c r="N157" s="2955">
        <v>3</v>
      </c>
      <c r="O157" s="2615">
        <f t="shared" si="91"/>
        <v>3</v>
      </c>
      <c r="P157" s="728">
        <f t="shared" ref="P157:P165" si="109">Z157</f>
        <v>0.2</v>
      </c>
      <c r="Q157" s="2780"/>
      <c r="R157" s="2968">
        <f t="shared" si="92"/>
        <v>0</v>
      </c>
      <c r="S157" s="641">
        <f t="shared" ref="S157:S166" si="110">AB157</f>
        <v>0</v>
      </c>
      <c r="T157" s="642"/>
      <c r="U157" s="567"/>
      <c r="V157" s="2733">
        <f>採点LR2!F152</f>
        <v>3</v>
      </c>
      <c r="W157" s="2982"/>
      <c r="Y157" s="2975">
        <f t="shared" si="107"/>
        <v>3</v>
      </c>
      <c r="Z157" s="2611">
        <f>重み!D157</f>
        <v>0.2</v>
      </c>
      <c r="AA157" s="2975">
        <f t="shared" si="108"/>
        <v>0</v>
      </c>
      <c r="AB157" s="2611">
        <f>重み!E157</f>
        <v>0</v>
      </c>
      <c r="AC157" s="2610"/>
      <c r="AD157" s="567"/>
      <c r="AE157" s="596">
        <f>重み!M157</f>
        <v>0.2</v>
      </c>
      <c r="AF157" s="581"/>
      <c r="AG157" s="596">
        <f>重み!N157</f>
        <v>0</v>
      </c>
      <c r="AS157" s="2377">
        <f t="shared" si="99"/>
        <v>0</v>
      </c>
    </row>
    <row r="158" spans="2:61" s="2687" customFormat="1" ht="14.25" hidden="1" customHeight="1" thickBot="1">
      <c r="B158" s="694"/>
      <c r="C158" s="2759">
        <v>2.6</v>
      </c>
      <c r="D158" s="2758" t="s">
        <v>1287</v>
      </c>
      <c r="E158" s="2755"/>
      <c r="F158" s="2756"/>
      <c r="G158" s="2586"/>
      <c r="H158" s="2634"/>
      <c r="I158" s="636"/>
      <c r="J158" s="637"/>
      <c r="K158" s="637"/>
      <c r="L158" s="637"/>
      <c r="M158" s="638"/>
      <c r="N158" s="3015">
        <f>ROUNDDOWN(Y158,1)</f>
        <v>0</v>
      </c>
      <c r="O158" s="2230">
        <f t="shared" si="91"/>
        <v>0</v>
      </c>
      <c r="P158" s="640">
        <f>Z158</f>
        <v>0</v>
      </c>
      <c r="Q158" s="2779">
        <f>ROUNDDOWN(AA158,1)</f>
        <v>0</v>
      </c>
      <c r="R158" s="2970">
        <f t="shared" si="92"/>
        <v>0</v>
      </c>
      <c r="S158" s="762">
        <f t="shared" si="110"/>
        <v>0</v>
      </c>
      <c r="T158" s="642"/>
      <c r="U158" s="2607"/>
      <c r="V158" s="803"/>
      <c r="W158" s="2982"/>
      <c r="Y158" s="2980">
        <f>SUMPRODUCT(Y159:Y164,Z159:Z164)</f>
        <v>0</v>
      </c>
      <c r="Z158" s="2611">
        <f>重み!D158</f>
        <v>0</v>
      </c>
      <c r="AA158" s="643">
        <f>SUMPRODUCT(AA159:AA164,AB159:AB164)</f>
        <v>0</v>
      </c>
      <c r="AB158" s="2611">
        <f>重み!E158</f>
        <v>0</v>
      </c>
      <c r="AC158" s="2610"/>
      <c r="AD158" s="2607"/>
      <c r="AE158" s="2609">
        <f>重み!M158</f>
        <v>0</v>
      </c>
      <c r="AF158" s="2608"/>
      <c r="AG158" s="2609">
        <f>重み!N159</f>
        <v>0</v>
      </c>
      <c r="AS158" s="2377">
        <f t="shared" ref="AS158" si="111">ROUNDDOWN(AW158,1)</f>
        <v>0</v>
      </c>
    </row>
    <row r="159" spans="2:61" s="2687" customFormat="1" ht="14.25" hidden="1" customHeight="1">
      <c r="B159" s="694"/>
      <c r="C159" s="2753"/>
      <c r="D159" s="2754">
        <v>1</v>
      </c>
      <c r="E159" s="2755" t="s">
        <v>3294</v>
      </c>
      <c r="F159" s="2756"/>
      <c r="G159" s="2597"/>
      <c r="H159" s="2635"/>
      <c r="I159" s="3831"/>
      <c r="J159" s="3832"/>
      <c r="K159" s="3832"/>
      <c r="L159" s="3832"/>
      <c r="M159" s="3833"/>
      <c r="N159" s="2953">
        <v>0</v>
      </c>
      <c r="O159" s="2612">
        <f t="shared" si="91"/>
        <v>5</v>
      </c>
      <c r="P159" s="728">
        <f t="shared" si="109"/>
        <v>0</v>
      </c>
      <c r="Q159" s="2780"/>
      <c r="R159" s="2968">
        <f t="shared" si="92"/>
        <v>0</v>
      </c>
      <c r="S159" s="641">
        <f t="shared" si="110"/>
        <v>0</v>
      </c>
      <c r="T159" s="642"/>
      <c r="U159" s="2607"/>
      <c r="V159" s="798">
        <f>採点LR2!F168</f>
        <v>5</v>
      </c>
      <c r="W159" s="2990"/>
      <c r="Y159" s="660">
        <f t="shared" ref="Y159:Y164" si="112">IF($Y$3=4,N159,V159)</f>
        <v>5</v>
      </c>
      <c r="Z159" s="2611">
        <f>重み!D159</f>
        <v>0</v>
      </c>
      <c r="AA159" s="660">
        <f t="shared" ref="AA159:AA164" si="113">IF($Y$3=4,Q159,W159)</f>
        <v>0</v>
      </c>
      <c r="AB159" s="2611">
        <f>重み!E159</f>
        <v>0</v>
      </c>
      <c r="AC159" s="2610"/>
      <c r="AD159" s="2607"/>
      <c r="AE159" s="2609">
        <f>重み!M159</f>
        <v>0</v>
      </c>
      <c r="AF159" s="2608"/>
      <c r="AG159" s="2609">
        <f>重み!N159</f>
        <v>0</v>
      </c>
    </row>
    <row r="160" spans="2:61" s="2687" customFormat="1" ht="14.25" hidden="1" customHeight="1">
      <c r="B160" s="694"/>
      <c r="C160" s="2753"/>
      <c r="D160" s="2754">
        <v>2</v>
      </c>
      <c r="E160" s="2755" t="s">
        <v>3296</v>
      </c>
      <c r="F160" s="2756"/>
      <c r="G160" s="2597"/>
      <c r="H160" s="2635"/>
      <c r="I160" s="3831"/>
      <c r="J160" s="3832"/>
      <c r="K160" s="3832"/>
      <c r="L160" s="3832"/>
      <c r="M160" s="3833"/>
      <c r="N160" s="2954">
        <v>0</v>
      </c>
      <c r="O160" s="2618">
        <f t="shared" si="91"/>
        <v>4</v>
      </c>
      <c r="P160" s="728">
        <f t="shared" si="109"/>
        <v>0</v>
      </c>
      <c r="Q160" s="2780"/>
      <c r="R160" s="2968">
        <f t="shared" si="92"/>
        <v>0</v>
      </c>
      <c r="S160" s="641">
        <f t="shared" si="110"/>
        <v>0</v>
      </c>
      <c r="T160" s="642"/>
      <c r="U160" s="2607"/>
      <c r="V160" s="798">
        <f>採点LR2!K168</f>
        <v>4</v>
      </c>
      <c r="W160" s="2990"/>
      <c r="Y160" s="660">
        <f t="shared" si="112"/>
        <v>4</v>
      </c>
      <c r="Z160" s="2611">
        <f>重み!D160</f>
        <v>0</v>
      </c>
      <c r="AA160" s="660">
        <f t="shared" si="113"/>
        <v>0</v>
      </c>
      <c r="AB160" s="2611">
        <f>重み!E160</f>
        <v>0</v>
      </c>
      <c r="AC160" s="2610"/>
      <c r="AD160" s="2607"/>
      <c r="AE160" s="2609">
        <f>重み!M160</f>
        <v>0</v>
      </c>
      <c r="AF160" s="2608"/>
      <c r="AG160" s="2609">
        <f>重み!N160</f>
        <v>0</v>
      </c>
    </row>
    <row r="161" spans="2:61" s="2687" customFormat="1" ht="14.25" hidden="1" customHeight="1">
      <c r="B161" s="2689"/>
      <c r="C161" s="2753"/>
      <c r="D161" s="2754">
        <v>3</v>
      </c>
      <c r="E161" s="2755" t="s">
        <v>3298</v>
      </c>
      <c r="F161" s="2756"/>
      <c r="G161" s="2597"/>
      <c r="H161" s="2635"/>
      <c r="I161" s="3831"/>
      <c r="J161" s="3832"/>
      <c r="K161" s="3832"/>
      <c r="L161" s="3832"/>
      <c r="M161" s="3833"/>
      <c r="N161" s="2954">
        <v>0</v>
      </c>
      <c r="O161" s="2618">
        <f t="shared" si="91"/>
        <v>4</v>
      </c>
      <c r="P161" s="728">
        <f t="shared" si="109"/>
        <v>0</v>
      </c>
      <c r="Q161" s="2780"/>
      <c r="R161" s="2968">
        <f t="shared" si="92"/>
        <v>0</v>
      </c>
      <c r="S161" s="641">
        <f t="shared" si="110"/>
        <v>0</v>
      </c>
      <c r="T161" s="642"/>
      <c r="U161" s="2607"/>
      <c r="V161" s="798">
        <f>採点LR2!F177</f>
        <v>4</v>
      </c>
      <c r="W161" s="2990"/>
      <c r="Y161" s="660">
        <f t="shared" si="112"/>
        <v>4</v>
      </c>
      <c r="Z161" s="2611">
        <f>重み!D161</f>
        <v>0</v>
      </c>
      <c r="AA161" s="660">
        <f t="shared" si="113"/>
        <v>0</v>
      </c>
      <c r="AB161" s="2611">
        <f>重み!E161</f>
        <v>0</v>
      </c>
      <c r="AC161" s="2610"/>
      <c r="AD161" s="2607"/>
      <c r="AE161" s="2609">
        <f>重み!M161</f>
        <v>0</v>
      </c>
      <c r="AF161" s="2608"/>
      <c r="AG161" s="2609">
        <f>重み!N161</f>
        <v>0</v>
      </c>
    </row>
    <row r="162" spans="2:61" s="2687" customFormat="1" ht="14.25" hidden="1" customHeight="1">
      <c r="B162" s="2689"/>
      <c r="C162" s="2753"/>
      <c r="D162" s="2754">
        <v>4</v>
      </c>
      <c r="E162" s="2755" t="s">
        <v>3300</v>
      </c>
      <c r="F162" s="2756"/>
      <c r="G162" s="2597"/>
      <c r="H162" s="2635"/>
      <c r="I162" s="3831"/>
      <c r="J162" s="3832"/>
      <c r="K162" s="3832"/>
      <c r="L162" s="3832"/>
      <c r="M162" s="3833"/>
      <c r="N162" s="2954">
        <v>0</v>
      </c>
      <c r="O162" s="2618">
        <f t="shared" si="91"/>
        <v>4</v>
      </c>
      <c r="P162" s="728">
        <f t="shared" si="109"/>
        <v>0</v>
      </c>
      <c r="Q162" s="2780"/>
      <c r="R162" s="2968">
        <f t="shared" si="92"/>
        <v>0</v>
      </c>
      <c r="S162" s="641">
        <f t="shared" si="110"/>
        <v>0</v>
      </c>
      <c r="T162" s="642"/>
      <c r="U162" s="2607"/>
      <c r="V162" s="798">
        <f>採点LR2!K177</f>
        <v>4</v>
      </c>
      <c r="W162" s="2990"/>
      <c r="Y162" s="660">
        <f t="shared" si="112"/>
        <v>4</v>
      </c>
      <c r="Z162" s="2611">
        <f>重み!D162</f>
        <v>0</v>
      </c>
      <c r="AA162" s="660">
        <f t="shared" si="113"/>
        <v>0</v>
      </c>
      <c r="AB162" s="2611">
        <f>重み!E162</f>
        <v>0</v>
      </c>
      <c r="AC162" s="2610"/>
      <c r="AD162" s="2607"/>
      <c r="AE162" s="2609">
        <f>重み!M162</f>
        <v>0</v>
      </c>
      <c r="AF162" s="2608"/>
      <c r="AG162" s="2609">
        <f>重み!N162</f>
        <v>0</v>
      </c>
    </row>
    <row r="163" spans="2:61" s="2687" customFormat="1" ht="14.25" hidden="1" customHeight="1">
      <c r="B163" s="2689"/>
      <c r="C163" s="2753"/>
      <c r="D163" s="2754">
        <v>5</v>
      </c>
      <c r="E163" s="2755" t="s">
        <v>3302</v>
      </c>
      <c r="F163" s="2756"/>
      <c r="G163" s="2597"/>
      <c r="H163" s="2635"/>
      <c r="I163" s="3831"/>
      <c r="J163" s="3832"/>
      <c r="K163" s="3832"/>
      <c r="L163" s="3832"/>
      <c r="M163" s="3833"/>
      <c r="N163" s="2954">
        <v>0</v>
      </c>
      <c r="O163" s="2618">
        <f t="shared" si="91"/>
        <v>5</v>
      </c>
      <c r="P163" s="728">
        <f t="shared" si="109"/>
        <v>0</v>
      </c>
      <c r="Q163" s="2780"/>
      <c r="R163" s="2968">
        <f t="shared" si="92"/>
        <v>0</v>
      </c>
      <c r="S163" s="641">
        <f t="shared" si="110"/>
        <v>0</v>
      </c>
      <c r="T163" s="642"/>
      <c r="U163" s="2607"/>
      <c r="V163" s="798">
        <f>採点LR2!F186</f>
        <v>5</v>
      </c>
      <c r="W163" s="2990"/>
      <c r="Y163" s="660">
        <f t="shared" si="112"/>
        <v>5</v>
      </c>
      <c r="Z163" s="2611">
        <f>重み!D163</f>
        <v>0</v>
      </c>
      <c r="AA163" s="660">
        <f t="shared" si="113"/>
        <v>0</v>
      </c>
      <c r="AB163" s="2611">
        <f>重み!E163</f>
        <v>0</v>
      </c>
      <c r="AC163" s="2610"/>
      <c r="AD163" s="2607"/>
      <c r="AE163" s="2609">
        <f>重み!M163</f>
        <v>0</v>
      </c>
      <c r="AF163" s="2608"/>
      <c r="AG163" s="2609">
        <f>重み!N163</f>
        <v>0</v>
      </c>
    </row>
    <row r="164" spans="2:61" s="2687" customFormat="1" ht="14.25" hidden="1" customHeight="1">
      <c r="B164" s="2689"/>
      <c r="C164" s="2753"/>
      <c r="D164" s="2754">
        <v>6</v>
      </c>
      <c r="E164" s="2755" t="s">
        <v>3304</v>
      </c>
      <c r="F164" s="2756"/>
      <c r="G164" s="2597"/>
      <c r="H164" s="2635"/>
      <c r="I164" s="3831"/>
      <c r="J164" s="3832"/>
      <c r="K164" s="3832"/>
      <c r="L164" s="3832"/>
      <c r="M164" s="3833"/>
      <c r="N164" s="2954">
        <v>0</v>
      </c>
      <c r="O164" s="2618">
        <f t="shared" si="91"/>
        <v>5</v>
      </c>
      <c r="P164" s="728">
        <f t="shared" si="109"/>
        <v>0</v>
      </c>
      <c r="Q164" s="2780"/>
      <c r="R164" s="2968">
        <f t="shared" si="92"/>
        <v>0</v>
      </c>
      <c r="S164" s="641">
        <f t="shared" si="110"/>
        <v>0</v>
      </c>
      <c r="T164" s="642"/>
      <c r="U164" s="2607"/>
      <c r="V164" s="798">
        <f>採点LR2!K186</f>
        <v>5</v>
      </c>
      <c r="W164" s="2990"/>
      <c r="Y164" s="660">
        <f t="shared" si="112"/>
        <v>5</v>
      </c>
      <c r="Z164" s="2611">
        <f>重み!D164</f>
        <v>0</v>
      </c>
      <c r="AA164" s="660">
        <f t="shared" si="113"/>
        <v>0</v>
      </c>
      <c r="AB164" s="2611">
        <f>重み!E164</f>
        <v>0</v>
      </c>
      <c r="AC164" s="2610"/>
      <c r="AD164" s="2607"/>
      <c r="AE164" s="2609">
        <f>重み!M164</f>
        <v>0</v>
      </c>
      <c r="AF164" s="2608"/>
      <c r="AG164" s="2609">
        <f>重み!N164</f>
        <v>0</v>
      </c>
    </row>
    <row r="165" spans="2:61" s="2687" customFormat="1" ht="14.25" hidden="1" customHeight="1" thickBot="1">
      <c r="B165" s="2689"/>
      <c r="C165" s="2757">
        <v>2.7</v>
      </c>
      <c r="D165" s="2758" t="s">
        <v>3306</v>
      </c>
      <c r="E165" s="2755"/>
      <c r="F165" s="2756"/>
      <c r="G165" s="2597"/>
      <c r="H165" s="2635"/>
      <c r="I165" s="3831"/>
      <c r="J165" s="3832"/>
      <c r="K165" s="3832"/>
      <c r="L165" s="3832"/>
      <c r="M165" s="3833"/>
      <c r="N165" s="2952">
        <v>0</v>
      </c>
      <c r="O165" s="2615">
        <f t="shared" si="91"/>
        <v>5</v>
      </c>
      <c r="P165" s="728">
        <f t="shared" si="109"/>
        <v>0</v>
      </c>
      <c r="Q165" s="2780"/>
      <c r="R165" s="2968">
        <f t="shared" si="92"/>
        <v>0</v>
      </c>
      <c r="S165" s="641">
        <f t="shared" si="110"/>
        <v>0</v>
      </c>
      <c r="T165" s="642"/>
      <c r="U165" s="2607"/>
      <c r="V165" s="2733">
        <f>採点LR2!F208</f>
        <v>5</v>
      </c>
      <c r="W165" s="2982"/>
      <c r="Y165" s="2975">
        <f>IF($Y$3=4,N165,V165)</f>
        <v>5</v>
      </c>
      <c r="Z165" s="2611">
        <f>重み!D165</f>
        <v>0</v>
      </c>
      <c r="AA165" s="2975">
        <f>IF($Y$3=4,Q165,W165)</f>
        <v>0</v>
      </c>
      <c r="AB165" s="2611">
        <f>重み!E165</f>
        <v>0</v>
      </c>
      <c r="AC165" s="2610"/>
      <c r="AD165" s="2607"/>
      <c r="AE165" s="2609">
        <f>重み!M165</f>
        <v>0</v>
      </c>
      <c r="AF165" s="2608"/>
      <c r="AG165" s="2609">
        <f>重み!N165</f>
        <v>0</v>
      </c>
      <c r="AS165" s="2377">
        <f t="shared" ref="AS165" si="114">ROUNDDOWN(AW165,1)</f>
        <v>0</v>
      </c>
    </row>
    <row r="166" spans="2:61" ht="14.25" customHeight="1" thickBot="1">
      <c r="B166" s="786">
        <v>3</v>
      </c>
      <c r="C166" s="2376" t="s">
        <v>1288</v>
      </c>
      <c r="D166" s="744"/>
      <c r="E166" s="648"/>
      <c r="F166" s="685"/>
      <c r="G166" s="2564"/>
      <c r="H166" s="2633"/>
      <c r="I166" s="673"/>
      <c r="J166" s="2895"/>
      <c r="K166" s="2895"/>
      <c r="L166" s="2895"/>
      <c r="M166" s="2222"/>
      <c r="N166" s="695">
        <f>ROUNDDOWN(Y166,1)</f>
        <v>3.2</v>
      </c>
      <c r="O166" s="695">
        <f t="shared" si="91"/>
        <v>3.2</v>
      </c>
      <c r="P166" s="675">
        <f>Z166</f>
        <v>0.2</v>
      </c>
      <c r="Q166" s="2785">
        <f>ROUNDDOWN(AA166,1)</f>
        <v>0</v>
      </c>
      <c r="R166" s="2969">
        <f t="shared" si="92"/>
        <v>0</v>
      </c>
      <c r="S166" s="676">
        <f t="shared" si="110"/>
        <v>0</v>
      </c>
      <c r="T166" s="677">
        <f>ROUNDDOWN(AC166,1)</f>
        <v>3.2</v>
      </c>
      <c r="U166" s="567"/>
      <c r="V166" s="801"/>
      <c r="W166" s="2982"/>
      <c r="Y166" s="2978">
        <f>Y167*Z167+Y168*Z168</f>
        <v>3.2333333333333329</v>
      </c>
      <c r="Z166" s="2611">
        <f>重み!D166</f>
        <v>0.2</v>
      </c>
      <c r="AA166" s="2978">
        <f>AA167*AB167+AA168*AB168</f>
        <v>0</v>
      </c>
      <c r="AB166" s="644">
        <f>SUM(AB167,AB168)</f>
        <v>0</v>
      </c>
      <c r="AC166" s="3018">
        <f>IF(AA166=0,Y166,IF(Y166=0,AA166,Y166*AE$6+AA166*AG$6))</f>
        <v>3.2333333333333329</v>
      </c>
      <c r="AD166" s="567"/>
      <c r="AE166" s="596">
        <f>重み!M166</f>
        <v>0.2</v>
      </c>
      <c r="AF166" s="581"/>
      <c r="AG166" s="644">
        <f>SUM(AG167,AG168)</f>
        <v>0</v>
      </c>
      <c r="AI166" s="2358">
        <v>3</v>
      </c>
      <c r="AJ166" s="2358"/>
      <c r="AK166" s="2358"/>
      <c r="AL166" s="2358"/>
      <c r="AM166" s="2358"/>
      <c r="AN166" s="2358">
        <v>4</v>
      </c>
      <c r="AO166" s="2358"/>
      <c r="AP166" s="2358"/>
      <c r="AQ166" s="2358"/>
      <c r="AR166" s="2358"/>
      <c r="AS166" s="2355">
        <f t="shared" si="99"/>
        <v>3</v>
      </c>
      <c r="AT166" s="810">
        <f>P166</f>
        <v>0.2</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1289</v>
      </c>
      <c r="E167" s="648"/>
      <c r="F167" s="685"/>
      <c r="G167" s="2586"/>
      <c r="H167" s="2631"/>
      <c r="I167" s="3842"/>
      <c r="J167" s="3843"/>
      <c r="K167" s="3843"/>
      <c r="L167" s="3843"/>
      <c r="M167" s="3844"/>
      <c r="N167" s="2947">
        <v>3</v>
      </c>
      <c r="O167" s="785">
        <f t="shared" si="91"/>
        <v>3</v>
      </c>
      <c r="P167" s="728">
        <f t="shared" si="102"/>
        <v>0.3</v>
      </c>
      <c r="Q167" s="2780"/>
      <c r="R167" s="2968">
        <f t="shared" si="92"/>
        <v>0</v>
      </c>
      <c r="S167" s="641">
        <f t="shared" si="103"/>
        <v>0</v>
      </c>
      <c r="T167" s="642"/>
      <c r="U167" s="567"/>
      <c r="V167" s="802">
        <f>採点LR2!F228</f>
        <v>3</v>
      </c>
      <c r="W167" s="2982"/>
      <c r="Y167" s="2975">
        <f>IF($Y$3=4,N167,V167)</f>
        <v>3</v>
      </c>
      <c r="Z167" s="2611">
        <f>重み!D167</f>
        <v>0.3</v>
      </c>
      <c r="AA167" s="2975">
        <f>IF($Y$3=4,Q167,W167)</f>
        <v>0</v>
      </c>
      <c r="AB167" s="2611">
        <f>重み!E167</f>
        <v>0</v>
      </c>
      <c r="AC167" s="2610"/>
      <c r="AD167" s="567"/>
      <c r="AE167" s="596">
        <f>重み!M167</f>
        <v>0.3</v>
      </c>
      <c r="AF167" s="581"/>
      <c r="AG167" s="596">
        <f>重み!N167</f>
        <v>0</v>
      </c>
    </row>
    <row r="168" spans="2:61" ht="14.25" customHeight="1" thickBot="1">
      <c r="B168" s="698"/>
      <c r="C168" s="646">
        <v>3.2</v>
      </c>
      <c r="D168" s="744" t="s">
        <v>1290</v>
      </c>
      <c r="E168" s="647"/>
      <c r="F168" s="680"/>
      <c r="G168" s="2597"/>
      <c r="H168" s="2632"/>
      <c r="I168" s="636"/>
      <c r="J168" s="637"/>
      <c r="K168" s="637"/>
      <c r="L168" s="637"/>
      <c r="M168" s="638"/>
      <c r="N168" s="3015">
        <f>ROUNDDOWN(Y168,1)</f>
        <v>3.3</v>
      </c>
      <c r="O168" s="695">
        <f t="shared" si="91"/>
        <v>3.3</v>
      </c>
      <c r="P168" s="640">
        <f>Z168</f>
        <v>0.7</v>
      </c>
      <c r="Q168" s="2779">
        <f>ROUNDDOWN(AA168,1)</f>
        <v>0</v>
      </c>
      <c r="R168" s="2970">
        <f t="shared" si="92"/>
        <v>0</v>
      </c>
      <c r="S168" s="762">
        <f t="shared" si="103"/>
        <v>0</v>
      </c>
      <c r="T168" s="642"/>
      <c r="U168" s="567"/>
      <c r="V168" s="803"/>
      <c r="W168" s="2982"/>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831"/>
      <c r="J169" s="3832"/>
      <c r="K169" s="3832"/>
      <c r="L169" s="3832"/>
      <c r="M169" s="3833"/>
      <c r="N169" s="2953">
        <v>0</v>
      </c>
      <c r="O169" s="658">
        <f t="shared" si="91"/>
        <v>4</v>
      </c>
      <c r="P169" s="728">
        <f t="shared" si="102"/>
        <v>0.33333333333333331</v>
      </c>
      <c r="Q169" s="2780"/>
      <c r="R169" s="2968">
        <f t="shared" si="92"/>
        <v>0</v>
      </c>
      <c r="S169" s="641">
        <f t="shared" si="103"/>
        <v>0</v>
      </c>
      <c r="T169" s="642"/>
      <c r="U169" s="567"/>
      <c r="V169" s="798">
        <f>採点LR2!F262</f>
        <v>4</v>
      </c>
      <c r="W169" s="2990"/>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831"/>
      <c r="J170" s="3832"/>
      <c r="K170" s="3832"/>
      <c r="L170" s="3832"/>
      <c r="M170" s="3833"/>
      <c r="N170" s="2954">
        <v>0</v>
      </c>
      <c r="O170" s="667">
        <f t="shared" si="91"/>
        <v>3</v>
      </c>
      <c r="P170" s="728">
        <f t="shared" si="102"/>
        <v>0.33333333333333331</v>
      </c>
      <c r="Q170" s="2780"/>
      <c r="R170" s="2968">
        <f t="shared" si="92"/>
        <v>0</v>
      </c>
      <c r="S170" s="641">
        <f t="shared" si="103"/>
        <v>0</v>
      </c>
      <c r="T170" s="642"/>
      <c r="U170" s="567"/>
      <c r="V170" s="798">
        <f>採点LR2!K262</f>
        <v>3</v>
      </c>
      <c r="W170" s="2990"/>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831"/>
      <c r="J171" s="3832"/>
      <c r="K171" s="3832"/>
      <c r="L171" s="3832"/>
      <c r="M171" s="3833"/>
      <c r="N171" s="2952">
        <v>3</v>
      </c>
      <c r="O171" s="663">
        <f t="shared" si="91"/>
        <v>3</v>
      </c>
      <c r="P171" s="747">
        <f t="shared" si="102"/>
        <v>0.33333333333333331</v>
      </c>
      <c r="Q171" s="2784"/>
      <c r="R171" s="2973">
        <f t="shared" si="92"/>
        <v>0</v>
      </c>
      <c r="S171" s="748">
        <f t="shared" si="103"/>
        <v>0</v>
      </c>
      <c r="T171" s="706"/>
      <c r="U171" s="567"/>
      <c r="V171" s="800">
        <f>採点LR2!F271</f>
        <v>3</v>
      </c>
      <c r="W171" s="2982"/>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1942</v>
      </c>
      <c r="C172" s="749" t="s">
        <v>1943</v>
      </c>
      <c r="D172" s="749"/>
      <c r="E172" s="749"/>
      <c r="F172" s="750"/>
      <c r="G172" s="2578"/>
      <c r="H172" s="2578"/>
      <c r="I172" s="711"/>
      <c r="J172" s="712"/>
      <c r="K172" s="712"/>
      <c r="L172" s="712"/>
      <c r="M172" s="713"/>
      <c r="N172" s="805"/>
      <c r="O172" s="805">
        <f t="shared" si="91"/>
        <v>0</v>
      </c>
      <c r="P172" s="715" t="e">
        <f t="shared" si="102"/>
        <v>#VALUE!</v>
      </c>
      <c r="Q172" s="716"/>
      <c r="R172" s="2971">
        <f t="shared" si="92"/>
        <v>0</v>
      </c>
      <c r="S172" s="717">
        <f t="shared" si="103"/>
        <v>0</v>
      </c>
      <c r="T172" s="718" t="e">
        <f>ROUNDDOWN(AC172,1)</f>
        <v>#VALUE!</v>
      </c>
      <c r="U172" s="567"/>
      <c r="V172" s="803"/>
      <c r="W172" s="2982"/>
      <c r="Y172" s="690"/>
      <c r="Z172" s="629" t="e">
        <f>重み!D172</f>
        <v>#VALUE!</v>
      </c>
      <c r="AA172" s="690"/>
      <c r="AB172" s="629"/>
      <c r="AC172" s="617" t="e">
        <f>Z173*AC173+Z174*AC174+Z183*AC183</f>
        <v>#VALUE!</v>
      </c>
      <c r="AD172" s="567"/>
      <c r="AE172" s="596">
        <f>重み!M172</f>
        <v>0.3</v>
      </c>
      <c r="AF172" s="581"/>
      <c r="AG172" s="596">
        <f>重み!N172</f>
        <v>0</v>
      </c>
      <c r="AI172" s="2375"/>
      <c r="AJ172" s="2361"/>
      <c r="AK172" s="2361"/>
      <c r="AL172" s="2361"/>
      <c r="AM172" s="2361"/>
      <c r="AN172" s="2361"/>
      <c r="AO172" s="2361"/>
      <c r="AP172" s="2361"/>
      <c r="AQ172" s="2361"/>
      <c r="AR172" s="2362"/>
      <c r="AS172" s="2363"/>
      <c r="AT172" s="2364" t="e">
        <f>P172</f>
        <v>#VALUE!</v>
      </c>
      <c r="AU172" s="718" t="e">
        <f>ROUNDDOWN(AW172,1)</f>
        <v>#VALUE!</v>
      </c>
      <c r="AW172" s="2354" t="e">
        <f>SUMPRODUCT(AT173:AT194,AW173:AW194)</f>
        <v>#VALUE!</v>
      </c>
    </row>
    <row r="173" spans="2:61" ht="14.25" customHeight="1" thickBot="1">
      <c r="B173" s="806">
        <v>1</v>
      </c>
      <c r="C173" s="633" t="s">
        <v>672</v>
      </c>
      <c r="D173" s="756"/>
      <c r="E173" s="756"/>
      <c r="F173" s="701"/>
      <c r="G173" s="2567"/>
      <c r="H173" s="2567"/>
      <c r="I173" s="3842"/>
      <c r="J173" s="3843"/>
      <c r="K173" s="3843"/>
      <c r="L173" s="3843"/>
      <c r="M173" s="3844"/>
      <c r="N173" s="2947">
        <v>0</v>
      </c>
      <c r="O173" s="785" t="e">
        <f t="shared" si="91"/>
        <v>#VALUE!</v>
      </c>
      <c r="P173" s="728" t="e">
        <f>Z173</f>
        <v>#VALUE!</v>
      </c>
      <c r="Q173" s="2779"/>
      <c r="R173" s="2970">
        <f t="shared" si="92"/>
        <v>0</v>
      </c>
      <c r="S173" s="641">
        <f t="shared" si="103"/>
        <v>0</v>
      </c>
      <c r="T173" s="642" t="e">
        <f>ROUNDDOWN(AC173,1)</f>
        <v>#VALUE!</v>
      </c>
      <c r="U173" s="567"/>
      <c r="V173" s="798" t="e">
        <f>採点LR3!F7</f>
        <v>#VALUE!</v>
      </c>
      <c r="W173" s="2990"/>
      <c r="Y173" s="2979" t="e">
        <f>IF($Y$3=4,N173,V173)</f>
        <v>#VALUE!</v>
      </c>
      <c r="Z173" s="2611" t="e">
        <f>重み!D173</f>
        <v>#VALUE!</v>
      </c>
      <c r="AA173" s="2979">
        <f>IF($Y$3=4,Q173,W173)</f>
        <v>0</v>
      </c>
      <c r="AB173" s="2611">
        <f>重み!E173</f>
        <v>0</v>
      </c>
      <c r="AC173" s="2610" t="e">
        <f>IF(AA173=0,Y173,IF(Y173=0,AA173,Y173*AE$6+AA173*AG$6))</f>
        <v>#VALUE!</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t="e">
        <f t="shared" ref="AS173:AS183" si="118">ROUNDDOWN(AW173,1)</f>
        <v>#VALUE!</v>
      </c>
      <c r="AT173" s="810" t="e">
        <f>P173</f>
        <v>#VALUE!</v>
      </c>
      <c r="AU173" s="677"/>
      <c r="AV173" s="2329"/>
      <c r="AW173" s="2378" t="e">
        <f>V173</f>
        <v>#VALUE!</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673</v>
      </c>
      <c r="D174" s="671"/>
      <c r="E174" s="671"/>
      <c r="F174" s="685"/>
      <c r="G174" s="2637"/>
      <c r="H174" s="2637"/>
      <c r="I174" s="673"/>
      <c r="J174" s="2895"/>
      <c r="K174" s="2895"/>
      <c r="L174" s="2895"/>
      <c r="M174" s="2222"/>
      <c r="N174" s="808">
        <f>ROUNDDOWN(Y174,1)</f>
        <v>3</v>
      </c>
      <c r="O174" s="808">
        <f t="shared" si="91"/>
        <v>3</v>
      </c>
      <c r="P174" s="809" t="e">
        <f>Z174</f>
        <v>#VALUE!</v>
      </c>
      <c r="Q174" s="2969">
        <f>ROUNDDOWN(AA174,1)</f>
        <v>0</v>
      </c>
      <c r="R174" s="2789">
        <f t="shared" si="92"/>
        <v>0</v>
      </c>
      <c r="S174" s="810">
        <f t="shared" si="103"/>
        <v>0</v>
      </c>
      <c r="T174" s="677">
        <f>ROUNDDOWN(AC174,1)</f>
        <v>3</v>
      </c>
      <c r="U174" s="567"/>
      <c r="V174" s="811"/>
      <c r="W174" s="2982"/>
      <c r="Y174" s="2978">
        <f>SUMPRODUCT(Y175:Y177,Z175:Z177)+Y182*Z182</f>
        <v>3</v>
      </c>
      <c r="Z174" s="2611" t="e">
        <f>重み!D174</f>
        <v>#VALUE!</v>
      </c>
      <c r="AA174" s="2978">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t="e">
        <f>P174</f>
        <v>#VALUE!</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674</v>
      </c>
      <c r="E175" s="756"/>
      <c r="F175" s="701"/>
      <c r="G175" s="2575"/>
      <c r="H175" s="2575"/>
      <c r="I175" s="3842"/>
      <c r="J175" s="3843"/>
      <c r="K175" s="3843"/>
      <c r="L175" s="3843"/>
      <c r="M175" s="3844"/>
      <c r="N175" s="2902">
        <v>0</v>
      </c>
      <c r="O175" s="752">
        <f t="shared" si="91"/>
        <v>3</v>
      </c>
      <c r="P175" s="728">
        <f t="shared" si="102"/>
        <v>0.25</v>
      </c>
      <c r="Q175" s="2779"/>
      <c r="R175" s="2970">
        <f t="shared" si="92"/>
        <v>0</v>
      </c>
      <c r="S175" s="641">
        <f t="shared" si="103"/>
        <v>0</v>
      </c>
      <c r="T175" s="642"/>
      <c r="U175" s="567"/>
      <c r="V175" s="798">
        <f>採点LR3!F22</f>
        <v>3</v>
      </c>
      <c r="W175" s="2990"/>
      <c r="Y175" s="2975">
        <f t="shared" ref="Y175:Y176" si="120">IF($Y$3=4,N175,V175)</f>
        <v>3</v>
      </c>
      <c r="Z175" s="2611">
        <f>重み!D175</f>
        <v>0.25</v>
      </c>
      <c r="AA175" s="2975">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1944</v>
      </c>
      <c r="E176" s="671"/>
      <c r="F176" s="685"/>
      <c r="G176" s="2567"/>
      <c r="H176" s="2638"/>
      <c r="I176" s="3831"/>
      <c r="J176" s="3832"/>
      <c r="K176" s="3832"/>
      <c r="L176" s="3832"/>
      <c r="M176" s="3833"/>
      <c r="N176" s="2950">
        <v>0</v>
      </c>
      <c r="O176" s="670">
        <f t="shared" si="91"/>
        <v>3</v>
      </c>
      <c r="P176" s="728">
        <f t="shared" si="102"/>
        <v>0.5</v>
      </c>
      <c r="Q176" s="2779"/>
      <c r="R176" s="2970">
        <f t="shared" si="92"/>
        <v>0</v>
      </c>
      <c r="S176" s="762">
        <f t="shared" si="103"/>
        <v>0</v>
      </c>
      <c r="T176" s="642"/>
      <c r="U176" s="567"/>
      <c r="V176" s="800">
        <f>採点LR3!F31</f>
        <v>3</v>
      </c>
      <c r="W176" s="2982"/>
      <c r="Y176" s="2975">
        <f t="shared" si="120"/>
        <v>3</v>
      </c>
      <c r="Z176" s="2611">
        <f>重み!D176</f>
        <v>0.5</v>
      </c>
      <c r="AA176" s="2975">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675</v>
      </c>
      <c r="E177" s="633"/>
      <c r="F177" s="635"/>
      <c r="G177" s="2597"/>
      <c r="H177" s="2597"/>
      <c r="I177" s="636"/>
      <c r="J177" s="637"/>
      <c r="K177" s="637"/>
      <c r="L177" s="637"/>
      <c r="M177" s="638"/>
      <c r="N177" s="808">
        <f>ROUNDDOWN(Y177,1)</f>
        <v>3</v>
      </c>
      <c r="O177" s="808">
        <f t="shared" si="91"/>
        <v>3</v>
      </c>
      <c r="P177" s="813">
        <f>Z177</f>
        <v>0.25</v>
      </c>
      <c r="Q177" s="2968">
        <f>ROUNDDOWN(AA177,1)</f>
        <v>0</v>
      </c>
      <c r="R177" s="2788">
        <f t="shared" si="92"/>
        <v>0</v>
      </c>
      <c r="S177" s="641">
        <f t="shared" si="103"/>
        <v>0</v>
      </c>
      <c r="T177" s="642"/>
      <c r="U177" s="567"/>
      <c r="V177" s="811"/>
      <c r="W177" s="2982"/>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1945</v>
      </c>
      <c r="F178" s="685"/>
      <c r="G178" s="2586"/>
      <c r="H178" s="2586"/>
      <c r="I178" s="3831"/>
      <c r="J178" s="3832"/>
      <c r="K178" s="3832"/>
      <c r="L178" s="3832"/>
      <c r="M178" s="3833"/>
      <c r="N178" s="2948">
        <v>0</v>
      </c>
      <c r="O178" s="658">
        <f t="shared" si="91"/>
        <v>3</v>
      </c>
      <c r="P178" s="659">
        <f t="shared" si="102"/>
        <v>0.25</v>
      </c>
      <c r="Q178" s="2968"/>
      <c r="R178" s="2788">
        <f t="shared" si="92"/>
        <v>0</v>
      </c>
      <c r="S178" s="659">
        <f t="shared" si="103"/>
        <v>0</v>
      </c>
      <c r="T178" s="642"/>
      <c r="U178" s="567"/>
      <c r="V178" s="798">
        <f>採点LR3!F65</f>
        <v>3</v>
      </c>
      <c r="W178" s="2990"/>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1946</v>
      </c>
      <c r="F179" s="685"/>
      <c r="G179" s="2586"/>
      <c r="H179" s="2586"/>
      <c r="I179" s="3831"/>
      <c r="J179" s="3832"/>
      <c r="K179" s="3832"/>
      <c r="L179" s="3832"/>
      <c r="M179" s="3833"/>
      <c r="N179" s="2949">
        <v>0</v>
      </c>
      <c r="O179" s="667">
        <f t="shared" si="91"/>
        <v>3</v>
      </c>
      <c r="P179" s="659">
        <f t="shared" si="102"/>
        <v>0.25</v>
      </c>
      <c r="Q179" s="2970"/>
      <c r="R179" s="2790">
        <f t="shared" si="92"/>
        <v>0</v>
      </c>
      <c r="S179" s="659">
        <f t="shared" si="103"/>
        <v>0</v>
      </c>
      <c r="T179" s="642"/>
      <c r="U179" s="567"/>
      <c r="V179" s="798">
        <f>採点LR3!F74</f>
        <v>3</v>
      </c>
      <c r="W179" s="2990"/>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676</v>
      </c>
      <c r="F180" s="685"/>
      <c r="G180" s="2586"/>
      <c r="H180" s="2586"/>
      <c r="I180" s="3831"/>
      <c r="J180" s="3832"/>
      <c r="K180" s="3832"/>
      <c r="L180" s="3832"/>
      <c r="M180" s="3833"/>
      <c r="N180" s="2949">
        <v>0</v>
      </c>
      <c r="O180" s="667">
        <f t="shared" si="91"/>
        <v>3</v>
      </c>
      <c r="P180" s="659">
        <f t="shared" si="102"/>
        <v>0.25</v>
      </c>
      <c r="Q180" s="2970"/>
      <c r="R180" s="2790">
        <f t="shared" si="92"/>
        <v>0</v>
      </c>
      <c r="S180" s="659">
        <f t="shared" si="103"/>
        <v>0</v>
      </c>
      <c r="T180" s="642"/>
      <c r="U180" s="567"/>
      <c r="V180" s="798">
        <f>採点LR3!F83</f>
        <v>3</v>
      </c>
      <c r="W180" s="2982"/>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1002</v>
      </c>
      <c r="F181" s="685"/>
      <c r="G181" s="2586"/>
      <c r="H181" s="2586"/>
      <c r="I181" s="3831"/>
      <c r="J181" s="3832"/>
      <c r="K181" s="3832"/>
      <c r="L181" s="3832"/>
      <c r="M181" s="3833"/>
      <c r="N181" s="2949">
        <v>0</v>
      </c>
      <c r="O181" s="2618">
        <f t="shared" si="91"/>
        <v>3</v>
      </c>
      <c r="P181" s="814">
        <f t="shared" si="102"/>
        <v>0.25</v>
      </c>
      <c r="Q181" s="2964"/>
      <c r="R181" s="2786">
        <f t="shared" si="92"/>
        <v>0</v>
      </c>
      <c r="S181" s="814">
        <f t="shared" si="103"/>
        <v>0</v>
      </c>
      <c r="T181" s="723"/>
      <c r="U181" s="567"/>
      <c r="V181" s="2991">
        <f>採点LR3!F103</f>
        <v>3</v>
      </c>
      <c r="W181" s="2982"/>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37">
        <v>2.1</v>
      </c>
      <c r="D182" s="2938" t="s">
        <v>1002</v>
      </c>
      <c r="E182" s="744"/>
      <c r="F182" s="685"/>
      <c r="G182" s="2597"/>
      <c r="H182" s="2597"/>
      <c r="I182" s="3842"/>
      <c r="J182" s="3843"/>
      <c r="K182" s="3843"/>
      <c r="L182" s="3843"/>
      <c r="M182" s="3844"/>
      <c r="N182" s="2950">
        <v>3</v>
      </c>
      <c r="O182" s="670">
        <f t="shared" si="91"/>
        <v>100</v>
      </c>
      <c r="P182" s="728">
        <f t="shared" ref="P182" si="124">Z182</f>
        <v>0</v>
      </c>
      <c r="Q182" s="2779"/>
      <c r="R182" s="2970">
        <f t="shared" si="92"/>
        <v>0</v>
      </c>
      <c r="S182" s="641">
        <f t="shared" ref="S182" si="125">AB182</f>
        <v>0</v>
      </c>
      <c r="T182" s="642"/>
      <c r="U182" s="2607"/>
      <c r="V182" s="3002">
        <v>100</v>
      </c>
      <c r="W182" s="2982"/>
      <c r="Y182" s="2975">
        <f>IF($Y$3=4,N182,V182)</f>
        <v>100</v>
      </c>
      <c r="Z182" s="2611">
        <f>重み!D182</f>
        <v>0</v>
      </c>
      <c r="AA182" s="2975">
        <f t="shared" si="123"/>
        <v>0</v>
      </c>
      <c r="AB182" s="2611">
        <f>重み!E182</f>
        <v>0</v>
      </c>
      <c r="AC182" s="2610"/>
      <c r="AD182" s="2607"/>
      <c r="AE182" s="2609">
        <f>重み!M182</f>
        <v>0</v>
      </c>
      <c r="AF182" s="2608"/>
      <c r="AG182" s="2609"/>
      <c r="AS182" s="2377"/>
    </row>
    <row r="183" spans="2:61" ht="14.25" customHeight="1">
      <c r="B183" s="815">
        <v>3</v>
      </c>
      <c r="C183" s="671" t="s">
        <v>1003</v>
      </c>
      <c r="D183" s="744"/>
      <c r="E183" s="671"/>
      <c r="F183" s="685"/>
      <c r="G183" s="2582"/>
      <c r="H183" s="2582"/>
      <c r="I183" s="650"/>
      <c r="J183" s="651"/>
      <c r="K183" s="651"/>
      <c r="L183" s="651"/>
      <c r="M183" s="3010"/>
      <c r="N183" s="2977">
        <f>ROUNDDOWN(Y183,1)</f>
        <v>3</v>
      </c>
      <c r="O183" s="2977">
        <f t="shared" si="91"/>
        <v>3</v>
      </c>
      <c r="P183" s="675" t="e">
        <f>Z183</f>
        <v>#VALUE!</v>
      </c>
      <c r="Q183" s="2785">
        <f>ROUNDDOWN(AA183,1)</f>
        <v>0</v>
      </c>
      <c r="R183" s="2969">
        <f t="shared" si="92"/>
        <v>0</v>
      </c>
      <c r="S183" s="676">
        <f t="shared" ref="S183:S184" si="126">AB183</f>
        <v>0</v>
      </c>
      <c r="T183" s="677">
        <f>ROUNDDOWN(AC183,1)</f>
        <v>3</v>
      </c>
      <c r="U183" s="567"/>
      <c r="V183" s="2982"/>
      <c r="W183" s="2982"/>
      <c r="Y183" s="2978">
        <f>Y184*Z184+Y188*Z188+Y192*Z192</f>
        <v>3.0000000000000004</v>
      </c>
      <c r="Z183" s="2611" t="e">
        <f>重み!D183</f>
        <v>#VALUE!</v>
      </c>
      <c r="AA183" s="2978">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t="e">
        <f>P183</f>
        <v>#VALUE!</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1004</v>
      </c>
      <c r="E184" s="633"/>
      <c r="F184" s="635"/>
      <c r="G184" s="2597"/>
      <c r="H184" s="2597"/>
      <c r="I184" s="650"/>
      <c r="J184" s="651"/>
      <c r="K184" s="651"/>
      <c r="L184" s="651"/>
      <c r="M184" s="3010"/>
      <c r="N184" s="817">
        <f>ROUNDDOWN(Y184,1)</f>
        <v>3</v>
      </c>
      <c r="O184" s="817">
        <f t="shared" si="91"/>
        <v>3</v>
      </c>
      <c r="P184" s="640">
        <f>Z184</f>
        <v>0.4</v>
      </c>
      <c r="Q184" s="2779">
        <f>ROUNDDOWN(AA184,1)</f>
        <v>0</v>
      </c>
      <c r="R184" s="2970">
        <f t="shared" si="92"/>
        <v>0</v>
      </c>
      <c r="S184" s="641">
        <f t="shared" si="126"/>
        <v>0</v>
      </c>
      <c r="T184" s="642"/>
      <c r="U184" s="567"/>
      <c r="V184" s="2982"/>
      <c r="W184" s="2982"/>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1005</v>
      </c>
      <c r="F185" s="685"/>
      <c r="G185" s="2586"/>
      <c r="H185" s="2586"/>
      <c r="I185" s="3831"/>
      <c r="J185" s="3832"/>
      <c r="K185" s="3832"/>
      <c r="L185" s="3832"/>
      <c r="M185" s="3833"/>
      <c r="N185" s="2953">
        <v>0</v>
      </c>
      <c r="O185" s="819">
        <f t="shared" si="91"/>
        <v>3</v>
      </c>
      <c r="P185" s="728">
        <f t="shared" si="102"/>
        <v>0.33333333333333331</v>
      </c>
      <c r="Q185" s="2779"/>
      <c r="R185" s="2970">
        <f t="shared" si="92"/>
        <v>0</v>
      </c>
      <c r="S185" s="641">
        <f t="shared" si="103"/>
        <v>0</v>
      </c>
      <c r="T185" s="642"/>
      <c r="U185" s="567"/>
      <c r="V185" s="2993">
        <f>採点LR3!F124</f>
        <v>3</v>
      </c>
      <c r="W185" s="2982"/>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1947</v>
      </c>
      <c r="F186" s="685"/>
      <c r="G186" s="2586"/>
      <c r="H186" s="2586"/>
      <c r="I186" s="3831"/>
      <c r="J186" s="3832"/>
      <c r="K186" s="3832"/>
      <c r="L186" s="3832"/>
      <c r="M186" s="3833"/>
      <c r="N186" s="2954">
        <v>0</v>
      </c>
      <c r="O186" s="820">
        <f t="shared" si="91"/>
        <v>3</v>
      </c>
      <c r="P186" s="728">
        <f t="shared" si="102"/>
        <v>0.33333333333333331</v>
      </c>
      <c r="Q186" s="2779"/>
      <c r="R186" s="2970">
        <f t="shared" si="92"/>
        <v>0</v>
      </c>
      <c r="S186" s="641">
        <f t="shared" si="103"/>
        <v>0</v>
      </c>
      <c r="T186" s="642"/>
      <c r="U186" s="567"/>
      <c r="V186" s="2991">
        <f>採点LR3!F150</f>
        <v>3</v>
      </c>
      <c r="W186" s="2982"/>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1948</v>
      </c>
      <c r="F187" s="685"/>
      <c r="G187" s="2586"/>
      <c r="H187" s="2586"/>
      <c r="I187" s="3831"/>
      <c r="J187" s="3832"/>
      <c r="K187" s="3832"/>
      <c r="L187" s="3832"/>
      <c r="M187" s="3833"/>
      <c r="N187" s="2955">
        <v>0</v>
      </c>
      <c r="O187" s="821">
        <f t="shared" si="91"/>
        <v>3</v>
      </c>
      <c r="P187" s="728">
        <f t="shared" si="102"/>
        <v>0.33333333333333331</v>
      </c>
      <c r="Q187" s="2779"/>
      <c r="R187" s="2970">
        <f t="shared" si="92"/>
        <v>0</v>
      </c>
      <c r="S187" s="641">
        <f t="shared" si="103"/>
        <v>0</v>
      </c>
      <c r="T187" s="642"/>
      <c r="U187" s="567"/>
      <c r="V187" s="2992">
        <f>採点LR3!F169</f>
        <v>3</v>
      </c>
      <c r="W187" s="2982"/>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2438</v>
      </c>
      <c r="E188" s="756"/>
      <c r="F188" s="701"/>
      <c r="G188" s="2597"/>
      <c r="H188" s="2597"/>
      <c r="I188" s="636"/>
      <c r="J188" s="637"/>
      <c r="K188" s="637"/>
      <c r="L188" s="637"/>
      <c r="M188" s="638"/>
      <c r="N188" s="822">
        <f>ROUNDDOWN(Y188,1)</f>
        <v>3</v>
      </c>
      <c r="O188" s="822">
        <f t="shared" si="91"/>
        <v>3</v>
      </c>
      <c r="P188" s="728">
        <f>Z188</f>
        <v>0.4</v>
      </c>
      <c r="Q188" s="2779">
        <f>ROUNDDOWN(AA188,1)</f>
        <v>0</v>
      </c>
      <c r="R188" s="2970">
        <f t="shared" si="92"/>
        <v>0</v>
      </c>
      <c r="S188" s="641">
        <f t="shared" si="103"/>
        <v>0</v>
      </c>
      <c r="T188" s="642"/>
      <c r="U188" s="567"/>
      <c r="V188" s="2994"/>
      <c r="W188" s="2982"/>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1949</v>
      </c>
      <c r="F189" s="685"/>
      <c r="G189" s="2586"/>
      <c r="H189" s="2586"/>
      <c r="I189" s="3831"/>
      <c r="J189" s="3832"/>
      <c r="K189" s="3832"/>
      <c r="L189" s="3832"/>
      <c r="M189" s="3833"/>
      <c r="N189" s="2948">
        <v>0</v>
      </c>
      <c r="O189" s="658">
        <f t="shared" si="91"/>
        <v>3</v>
      </c>
      <c r="P189" s="728">
        <f t="shared" ref="P189:P194" si="130">Z189</f>
        <v>0.7</v>
      </c>
      <c r="Q189" s="2779"/>
      <c r="R189" s="2970">
        <f t="shared" si="92"/>
        <v>0</v>
      </c>
      <c r="S189" s="641">
        <f t="shared" si="103"/>
        <v>0</v>
      </c>
      <c r="T189" s="642"/>
      <c r="U189" s="567"/>
      <c r="V189" s="2993">
        <f>採点LR3!F179</f>
        <v>3</v>
      </c>
      <c r="W189" s="2982"/>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1006</v>
      </c>
      <c r="F190" s="685"/>
      <c r="G190" s="2586"/>
      <c r="H190" s="2586"/>
      <c r="I190" s="3831"/>
      <c r="J190" s="3832"/>
      <c r="K190" s="3832"/>
      <c r="L190" s="3832"/>
      <c r="M190" s="3833"/>
      <c r="N190" s="2949">
        <v>0</v>
      </c>
      <c r="O190" s="667">
        <f t="shared" si="91"/>
        <v>3</v>
      </c>
      <c r="P190" s="791">
        <f t="shared" si="130"/>
        <v>0</v>
      </c>
      <c r="Q190" s="2779"/>
      <c r="R190" s="2970">
        <f t="shared" si="92"/>
        <v>0</v>
      </c>
      <c r="S190" s="641"/>
      <c r="T190" s="642"/>
      <c r="U190" s="567"/>
      <c r="V190" s="2992">
        <f>採点LR3!F188</f>
        <v>3</v>
      </c>
      <c r="W190" s="2982"/>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1950</v>
      </c>
      <c r="F191" s="685"/>
      <c r="G191" s="2586"/>
      <c r="H191" s="2586"/>
      <c r="I191" s="3831"/>
      <c r="J191" s="3832"/>
      <c r="K191" s="3832"/>
      <c r="L191" s="3832"/>
      <c r="M191" s="3833"/>
      <c r="N191" s="2949">
        <v>0</v>
      </c>
      <c r="O191" s="667">
        <f t="shared" si="91"/>
        <v>3</v>
      </c>
      <c r="P191" s="791">
        <f t="shared" si="130"/>
        <v>0.3</v>
      </c>
      <c r="Q191" s="2779"/>
      <c r="R191" s="2970">
        <f t="shared" si="92"/>
        <v>0</v>
      </c>
      <c r="S191" s="641">
        <f>AB191</f>
        <v>0</v>
      </c>
      <c r="T191" s="642"/>
      <c r="U191" s="567"/>
      <c r="V191" s="2992">
        <f>採点LR3!F205</f>
        <v>3</v>
      </c>
      <c r="W191" s="2982"/>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1007</v>
      </c>
      <c r="E192" s="756"/>
      <c r="F192" s="701"/>
      <c r="G192" s="2597"/>
      <c r="H192" s="2597"/>
      <c r="I192" s="636"/>
      <c r="J192" s="637"/>
      <c r="K192" s="637"/>
      <c r="L192" s="637"/>
      <c r="M192" s="638"/>
      <c r="N192" s="822">
        <f>ROUNDDOWN(Y192,1)</f>
        <v>3</v>
      </c>
      <c r="O192" s="822">
        <f t="shared" si="91"/>
        <v>3</v>
      </c>
      <c r="P192" s="728">
        <f>Z192</f>
        <v>0.2</v>
      </c>
      <c r="Q192" s="2779">
        <f>ROUNDDOWN(AA192,1)</f>
        <v>0</v>
      </c>
      <c r="R192" s="2970">
        <f t="shared" si="92"/>
        <v>0</v>
      </c>
      <c r="S192" s="641">
        <f t="shared" ref="S192" si="133">AB192</f>
        <v>0</v>
      </c>
      <c r="T192" s="642"/>
      <c r="U192" s="567"/>
      <c r="V192" s="2994"/>
      <c r="W192" s="2982"/>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854" t="s">
        <v>1008</v>
      </c>
      <c r="F193" s="3848"/>
      <c r="G193" s="2586"/>
      <c r="H193" s="2586"/>
      <c r="I193" s="3831"/>
      <c r="J193" s="3832"/>
      <c r="K193" s="3832"/>
      <c r="L193" s="3832"/>
      <c r="M193" s="3833"/>
      <c r="N193" s="2948">
        <v>0</v>
      </c>
      <c r="O193" s="658">
        <f t="shared" si="91"/>
        <v>3</v>
      </c>
      <c r="P193" s="728">
        <f t="shared" si="130"/>
        <v>0.7</v>
      </c>
      <c r="Q193" s="2779"/>
      <c r="R193" s="2970">
        <f t="shared" si="92"/>
        <v>0</v>
      </c>
      <c r="S193" s="641">
        <f>AB193</f>
        <v>0</v>
      </c>
      <c r="T193" s="642"/>
      <c r="U193" s="567"/>
      <c r="V193" s="2993">
        <f>採点LR3!F216</f>
        <v>3</v>
      </c>
      <c r="W193" s="2982"/>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852" t="s">
        <v>2393</v>
      </c>
      <c r="F194" s="3853"/>
      <c r="G194" s="2636"/>
      <c r="H194" s="2636"/>
      <c r="I194" s="3831"/>
      <c r="J194" s="3832"/>
      <c r="K194" s="3832"/>
      <c r="L194" s="3832"/>
      <c r="M194" s="3833"/>
      <c r="N194" s="2949">
        <v>0</v>
      </c>
      <c r="O194" s="667">
        <f>ROUNDDOWN(Y194,1)</f>
        <v>3</v>
      </c>
      <c r="P194" s="791">
        <f t="shared" si="130"/>
        <v>0.3</v>
      </c>
      <c r="Q194" s="2779"/>
      <c r="R194" s="2974">
        <f t="shared" si="92"/>
        <v>0</v>
      </c>
      <c r="S194" s="641">
        <f>AB194</f>
        <v>0</v>
      </c>
      <c r="T194" s="642"/>
      <c r="U194" s="567"/>
      <c r="V194" s="2991">
        <f>採点LR3!F234</f>
        <v>3</v>
      </c>
      <c r="W194" s="2982"/>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7"/>
      <c r="W195" s="2997"/>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algorithmName="SHA-512" hashValue="sEe4Z3p8+boeZWBuq6owNdu8FiamRiGBgqfC5o7oImMEY0QRnhu3/r+7JIpxscevetSPh8wXbhzn0vSIhcdfBw==" saltValue="QBMczV7uBC8j8PObgRJQdA==" spinCount="100000" sheet="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61" priority="90" stopIfTrue="1">
      <formula>AND(AG11&gt;0,R11="")</formula>
    </cfRule>
    <cfRule type="expression" dxfId="60" priority="91" stopIfTrue="1">
      <formula>(AG11=0)</formula>
    </cfRule>
  </conditionalFormatting>
  <conditionalFormatting sqref="R10 R20 R35 R48 R63 R78 R100">
    <cfRule type="expression" dxfId="59" priority="92" stopIfTrue="1">
      <formula>AND(AG10&gt;0,R10="")</formula>
    </cfRule>
    <cfRule type="expression" dxfId="58"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57" priority="85">
      <formula>AI$7&gt;0</formula>
    </cfRule>
  </conditionalFormatting>
  <conditionalFormatting sqref="AI159:AR164">
    <cfRule type="expression" dxfId="56" priority="82">
      <formula>AI$7&gt;0</formula>
    </cfRule>
  </conditionalFormatting>
  <conditionalFormatting sqref="AI165:AR165">
    <cfRule type="expression" dxfId="55" priority="79">
      <formula>AI$7&gt;0</formula>
    </cfRule>
  </conditionalFormatting>
  <conditionalFormatting sqref="AI158:AR158">
    <cfRule type="expression" dxfId="54" priority="75">
      <formula>AI$7&gt;0</formula>
    </cfRule>
  </conditionalFormatting>
  <conditionalFormatting sqref="R158">
    <cfRule type="expression" dxfId="53" priority="73" stopIfTrue="1">
      <formula>AND(AG158&gt;0,R158="")</formula>
    </cfRule>
    <cfRule type="expression" dxfId="52" priority="74" stopIfTrue="1">
      <formula>(AG158=0)</formula>
    </cfRule>
  </conditionalFormatting>
  <conditionalFormatting sqref="O11:O30 O123:O144 O173:O181 O113 O146:O171 O63:O69 O35:O61 O115:O120 O183:O194 O71:O111">
    <cfRule type="expression" dxfId="51" priority="292" stopIfTrue="1">
      <formula>AND(AE11&gt;0,O11="")</formula>
    </cfRule>
    <cfRule type="expression" dxfId="50" priority="293" stopIfTrue="1">
      <formula>(AE11=0)</formula>
    </cfRule>
  </conditionalFormatting>
  <conditionalFormatting sqref="O10">
    <cfRule type="expression" dxfId="49" priority="306" stopIfTrue="1">
      <formula>AND(AE10&gt;0,O10="")</formula>
    </cfRule>
    <cfRule type="expression" dxfId="48" priority="307" stopIfTrue="1">
      <formula>AND(AE10=0)</formula>
    </cfRule>
  </conditionalFormatting>
  <conditionalFormatting sqref="N11:N30 N123:N144 N173:N181 N113 N63:N69 N115:N120 N183:N194 N71:N111 N35:N61 N146:N171">
    <cfRule type="expression" dxfId="47" priority="69" stopIfTrue="1">
      <formula>(AE11=0)</formula>
    </cfRule>
  </conditionalFormatting>
  <conditionalFormatting sqref="N10">
    <cfRule type="expression" dxfId="46" priority="71" stopIfTrue="1">
      <formula>AE10=0</formula>
    </cfRule>
  </conditionalFormatting>
  <conditionalFormatting sqref="Q36:Q47 Q113 Q101:Q111 Q21:Q30 Q79:Q99 Q49:Q61 Q146:Q157 Q159:Q171 Q11:Q19 Q123:Q144 Q173:Q181 Q64:Q77 Q115:Q120 Q183:Q194">
    <cfRule type="expression" dxfId="45" priority="59" stopIfTrue="1">
      <formula>(AG11=0)</formula>
    </cfRule>
  </conditionalFormatting>
  <conditionalFormatting sqref="Q20 Q35 Q48 Q63 Q78 Q100">
    <cfRule type="expression" dxfId="44" priority="61" stopIfTrue="1">
      <formula>AND(AG20=0)</formula>
    </cfRule>
  </conditionalFormatting>
  <conditionalFormatting sqref="Q158">
    <cfRule type="expression" dxfId="43" priority="57" stopIfTrue="1">
      <formula>(AG158=0)</formula>
    </cfRule>
  </conditionalFormatting>
  <conditionalFormatting sqref="Q182">
    <cfRule type="expression" dxfId="42" priority="36" stopIfTrue="1">
      <formula>(AG182=0)</formula>
    </cfRule>
  </conditionalFormatting>
  <conditionalFormatting sqref="R31 R33:R34">
    <cfRule type="expression" dxfId="41" priority="52" stopIfTrue="1">
      <formula>AND(AG31&gt;0,R31="")</formula>
    </cfRule>
    <cfRule type="expression" dxfId="40" priority="53" stopIfTrue="1">
      <formula>(AG31=0)</formula>
    </cfRule>
  </conditionalFormatting>
  <conditionalFormatting sqref="O31 O33:O34">
    <cfRule type="expression" dxfId="39" priority="54" stopIfTrue="1">
      <formula>AND(AE31&gt;0,O31="")</formula>
    </cfRule>
    <cfRule type="expression" dxfId="38" priority="55" stopIfTrue="1">
      <formula>(AE31=0)</formula>
    </cfRule>
  </conditionalFormatting>
  <conditionalFormatting sqref="N31 N33:N34">
    <cfRule type="expression" dxfId="37" priority="51" stopIfTrue="1">
      <formula>(AE31=0)</formula>
    </cfRule>
  </conditionalFormatting>
  <conditionalFormatting sqref="Q31 Q33:Q34">
    <cfRule type="expression" dxfId="36" priority="50" stopIfTrue="1">
      <formula>(AG31=0)</formula>
    </cfRule>
  </conditionalFormatting>
  <conditionalFormatting sqref="Q10">
    <cfRule type="expression" dxfId="35" priority="48" stopIfTrue="1">
      <formula>AND(AF10&gt;0,Q10="")</formula>
    </cfRule>
    <cfRule type="expression" dxfId="34" priority="49" stopIfTrue="1">
      <formula>AND(AF10=0)</formula>
    </cfRule>
  </conditionalFormatting>
  <conditionalFormatting sqref="R114">
    <cfRule type="expression" dxfId="33" priority="44" stopIfTrue="1">
      <formula>AND(AG114&gt;0,R114="")</formula>
    </cfRule>
    <cfRule type="expression" dxfId="32" priority="45" stopIfTrue="1">
      <formula>(AG114=0)</formula>
    </cfRule>
  </conditionalFormatting>
  <conditionalFormatting sqref="O114">
    <cfRule type="expression" dxfId="31" priority="46" stopIfTrue="1">
      <formula>AND(AE114&gt;0,O114="")</formula>
    </cfRule>
    <cfRule type="expression" dxfId="30" priority="47" stopIfTrue="1">
      <formula>(AE114=0)</formula>
    </cfRule>
  </conditionalFormatting>
  <conditionalFormatting sqref="N114">
    <cfRule type="expression" dxfId="29" priority="43" stopIfTrue="1">
      <formula>(AE114=0)</formula>
    </cfRule>
  </conditionalFormatting>
  <conditionalFormatting sqref="Q114">
    <cfRule type="expression" dxfId="28" priority="42" stopIfTrue="1">
      <formula>(AG114=0)</formula>
    </cfRule>
  </conditionalFormatting>
  <conditionalFormatting sqref="O182">
    <cfRule type="expression" dxfId="27" priority="40" stopIfTrue="1">
      <formula>AND(AE182&gt;0,O182="")</formula>
    </cfRule>
    <cfRule type="expression" dxfId="26" priority="41" stopIfTrue="1">
      <formula>(AE182=0)</formula>
    </cfRule>
  </conditionalFormatting>
  <conditionalFormatting sqref="N182">
    <cfRule type="expression" dxfId="25" priority="39" stopIfTrue="1">
      <formula>(AE182=0)</formula>
    </cfRule>
  </conditionalFormatting>
  <conditionalFormatting sqref="R182">
    <cfRule type="expression" dxfId="24" priority="37" stopIfTrue="1">
      <formula>AND(AG182&gt;0,R182="")</formula>
    </cfRule>
    <cfRule type="expression" dxfId="23" priority="38" stopIfTrue="1">
      <formula>(AG182=0)</formula>
    </cfRule>
  </conditionalFormatting>
  <conditionalFormatting sqref="Q32">
    <cfRule type="expression" dxfId="22" priority="27" stopIfTrue="1">
      <formula>(AG32=0)</formula>
    </cfRule>
  </conditionalFormatting>
  <conditionalFormatting sqref="R32">
    <cfRule type="expression" dxfId="21" priority="29" stopIfTrue="1">
      <formula>AND(AG32&gt;0,R32="")</formula>
    </cfRule>
    <cfRule type="expression" dxfId="20" priority="30" stopIfTrue="1">
      <formula>(AG32=0)</formula>
    </cfRule>
  </conditionalFormatting>
  <conditionalFormatting sqref="O32">
    <cfRule type="expression" dxfId="19" priority="31" stopIfTrue="1">
      <formula>AND(AE32&gt;0,O32="")</formula>
    </cfRule>
    <cfRule type="expression" dxfId="18" priority="32" stopIfTrue="1">
      <formula>(AE32=0)</formula>
    </cfRule>
  </conditionalFormatting>
  <conditionalFormatting sqref="N32">
    <cfRule type="expression" dxfId="17" priority="28" stopIfTrue="1">
      <formula>(AE32=0)</formula>
    </cfRule>
  </conditionalFormatting>
  <conditionalFormatting sqref="I11:M11">
    <cfRule type="expression" dxfId="16" priority="26">
      <formula>OR($Y11&gt;3,$AA11&gt;3)</formula>
    </cfRule>
  </conditionalFormatting>
  <conditionalFormatting sqref="O70">
    <cfRule type="expression" dxfId="15" priority="23" stopIfTrue="1">
      <formula>AND(AE70&gt;0,O70="")</formula>
    </cfRule>
    <cfRule type="expression" dxfId="14" priority="24" stopIfTrue="1">
      <formula>(AE70=0)</formula>
    </cfRule>
  </conditionalFormatting>
  <conditionalFormatting sqref="N70">
    <cfRule type="expression" dxfId="13"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2"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Z612"/>
  <sheetViews>
    <sheetView showGridLines="0" view="pageBreakPreview" topLeftCell="A31" zoomScale="85" zoomScaleNormal="100" zoomScaleSheetLayoutView="85" workbookViewId="0">
      <selection activeCell="C6" sqref="C6"/>
    </sheetView>
  </sheetViews>
  <sheetFormatPr defaultColWidth="0" defaultRowHeight="0" customHeight="1" zeroHeight="1"/>
  <cols>
    <col min="1" max="1" width="1.125" style="2687" customWidth="1"/>
    <col min="2" max="2" width="4.625" style="2687" customWidth="1"/>
    <col min="3" max="3" width="2.125" style="2687" customWidth="1"/>
    <col min="4" max="4" width="6.75" style="2687" customWidth="1"/>
    <col min="5" max="5" width="12.875" style="2687" customWidth="1"/>
    <col min="6" max="6" width="11.5" style="2687" customWidth="1"/>
    <col min="7" max="7" width="4.875" style="2687" customWidth="1"/>
    <col min="8" max="8" width="5" style="2687" customWidth="1"/>
    <col min="9" max="13" width="9.5" style="2687" customWidth="1"/>
    <col min="14" max="14" width="9.875" style="2687" customWidth="1"/>
    <col min="15" max="15" width="3.375" style="2687" hidden="1" customWidth="1"/>
    <col min="16" max="18" width="10.125" style="2687" hidden="1" customWidth="1"/>
    <col min="19" max="16384" width="9" style="2687" hidden="1"/>
  </cols>
  <sheetData>
    <row r="1" spans="1:26" s="3059" customFormat="1" ht="15.75">
      <c r="A1" s="559"/>
      <c r="B1" s="1169"/>
      <c r="C1" s="1284"/>
      <c r="D1" s="1285"/>
      <c r="E1" s="1285"/>
      <c r="F1" s="1285"/>
      <c r="G1" s="1285"/>
      <c r="H1" s="1286"/>
      <c r="I1" s="1286"/>
      <c r="J1" s="1285"/>
      <c r="K1" s="1285"/>
      <c r="L1" s="905" t="s">
        <v>2697</v>
      </c>
      <c r="M1" s="906" t="e">
        <f>#REF!</f>
        <v>#REF!</v>
      </c>
      <c r="N1" s="907"/>
      <c r="Q1" s="2687"/>
      <c r="R1" s="2687"/>
      <c r="S1" s="2687"/>
      <c r="T1" s="2687"/>
      <c r="X1" s="2687"/>
    </row>
    <row r="2" spans="1:26" s="3059" customFormat="1" ht="6" customHeight="1">
      <c r="A2" s="559"/>
      <c r="B2" s="1169"/>
      <c r="C2" s="559"/>
      <c r="D2" s="909"/>
      <c r="E2" s="909"/>
      <c r="F2" s="909"/>
      <c r="G2" s="909"/>
      <c r="H2" s="1287"/>
      <c r="I2" s="1287"/>
      <c r="J2" s="909"/>
      <c r="K2" s="909"/>
      <c r="L2" s="909"/>
      <c r="M2" s="909"/>
      <c r="N2" s="909"/>
      <c r="Q2" s="2687"/>
      <c r="R2" s="2687"/>
      <c r="S2" s="2687"/>
      <c r="T2" s="2687"/>
      <c r="X2" s="2687"/>
    </row>
    <row r="3" spans="1:26" s="3059" customFormat="1" ht="15" customHeight="1">
      <c r="A3" s="559"/>
      <c r="B3" s="1169"/>
      <c r="C3" s="559"/>
      <c r="D3" s="909"/>
      <c r="E3" s="909"/>
      <c r="F3" s="909"/>
      <c r="G3" s="909"/>
      <c r="H3" s="1287"/>
      <c r="I3" s="1287"/>
      <c r="J3" s="909"/>
      <c r="K3" s="909"/>
      <c r="L3" s="909"/>
      <c r="M3" s="909"/>
      <c r="N3" s="1291" t="s">
        <v>3575</v>
      </c>
      <c r="Q3" s="2687"/>
      <c r="R3" s="2687"/>
      <c r="S3" s="2687"/>
      <c r="T3" s="2687"/>
      <c r="X3" s="2687"/>
    </row>
    <row r="4" spans="1:26" s="3059" customFormat="1" ht="18" customHeight="1">
      <c r="A4" s="3094"/>
      <c r="B4" s="1288" t="e">
        <f>#REF!</f>
        <v>#REF!</v>
      </c>
      <c r="C4" s="559"/>
      <c r="D4" s="559"/>
      <c r="E4" s="559"/>
      <c r="F4" s="3061"/>
      <c r="G4" s="3061"/>
      <c r="H4" s="1290"/>
      <c r="I4" s="1290"/>
      <c r="J4" s="912"/>
      <c r="K4" s="913"/>
      <c r="L4" s="913"/>
      <c r="M4" s="1290"/>
      <c r="Q4" s="2687"/>
      <c r="R4" s="2687"/>
      <c r="S4" s="2687"/>
      <c r="T4" s="2687"/>
      <c r="U4" s="3060" t="s">
        <v>2586</v>
      </c>
      <c r="V4" s="3060" t="s">
        <v>1964</v>
      </c>
      <c r="X4" s="2687"/>
      <c r="Z4" s="3060">
        <v>0</v>
      </c>
    </row>
    <row r="5" spans="1:26" s="3059" customFormat="1" ht="6" customHeight="1">
      <c r="A5" s="3094"/>
      <c r="B5" s="1288"/>
      <c r="C5" s="1289"/>
      <c r="D5" s="910"/>
      <c r="E5" s="910"/>
      <c r="F5" s="3061"/>
      <c r="G5" s="3061"/>
      <c r="H5" s="1290"/>
      <c r="I5" s="1290"/>
      <c r="J5" s="1290"/>
      <c r="K5" s="913"/>
      <c r="L5" s="913"/>
      <c r="M5" s="1290"/>
      <c r="N5" s="1291"/>
      <c r="Q5" s="2687"/>
      <c r="R5" s="2687"/>
      <c r="S5" s="2687"/>
      <c r="T5" s="2687"/>
      <c r="U5" s="3060" t="s">
        <v>1152</v>
      </c>
      <c r="V5" s="3060"/>
      <c r="X5" s="2687"/>
      <c r="Z5" s="3060">
        <v>0</v>
      </c>
    </row>
    <row r="6" spans="1:26" s="3059" customFormat="1" ht="24" customHeight="1" thickBot="1">
      <c r="A6" s="3094"/>
      <c r="B6" s="1326">
        <v>1</v>
      </c>
      <c r="C6" s="915" t="s">
        <v>3576</v>
      </c>
      <c r="D6" s="3095"/>
      <c r="E6" s="573"/>
      <c r="F6" s="910"/>
      <c r="G6" s="3061"/>
      <c r="H6" s="1290"/>
      <c r="I6" s="1290"/>
      <c r="J6" s="1290"/>
      <c r="K6" s="913"/>
      <c r="L6" s="913"/>
      <c r="M6" s="1290"/>
      <c r="N6" s="1291"/>
      <c r="Q6" s="2687"/>
      <c r="R6" s="2687"/>
      <c r="S6" s="2687"/>
      <c r="T6" s="2687"/>
      <c r="U6" s="472"/>
      <c r="V6" s="472"/>
      <c r="X6" s="2687"/>
      <c r="Z6" s="472"/>
    </row>
    <row r="7" spans="1:26" s="3059" customFormat="1" ht="24" customHeight="1">
      <c r="A7" s="3094"/>
      <c r="D7" s="1326">
        <v>1.1000000000000001</v>
      </c>
      <c r="E7" s="1143" t="s">
        <v>2182</v>
      </c>
      <c r="F7" s="1143"/>
      <c r="H7" s="3096" t="s">
        <v>3577</v>
      </c>
      <c r="J7" s="1290"/>
      <c r="K7" s="3097" t="s">
        <v>3578</v>
      </c>
      <c r="L7" s="3866" t="str">
        <f>IF(スコア!O123=0,"対象外",スコア!O123)</f>
        <v>対象外</v>
      </c>
      <c r="M7" s="3867"/>
      <c r="N7" s="1291"/>
      <c r="Q7" s="2687"/>
      <c r="R7" s="2687"/>
      <c r="S7" s="2687"/>
      <c r="T7" s="2687"/>
      <c r="U7" s="472"/>
      <c r="V7" s="472"/>
      <c r="X7" s="2687"/>
      <c r="Z7" s="472"/>
    </row>
    <row r="8" spans="1:26" s="3059" customFormat="1" ht="24" customHeight="1">
      <c r="A8" s="3094"/>
      <c r="D8" s="908">
        <v>1.2</v>
      </c>
      <c r="E8" s="917" t="s">
        <v>2493</v>
      </c>
      <c r="F8" s="917"/>
      <c r="H8" s="3096" t="s">
        <v>3579</v>
      </c>
      <c r="J8" s="1290"/>
      <c r="K8" s="3097" t="s">
        <v>3578</v>
      </c>
      <c r="L8" s="3868">
        <f>スコア!O124</f>
        <v>3</v>
      </c>
      <c r="M8" s="3869"/>
      <c r="N8" s="1291"/>
      <c r="Q8" s="2687"/>
      <c r="R8" s="2687"/>
      <c r="S8" s="2687"/>
      <c r="T8" s="2687"/>
      <c r="U8" s="472"/>
      <c r="V8" s="472"/>
      <c r="X8" s="2687"/>
      <c r="Z8" s="472"/>
    </row>
    <row r="9" spans="1:26" s="3059" customFormat="1" ht="24" customHeight="1">
      <c r="A9" s="3094"/>
      <c r="D9" s="1326">
        <v>1.3</v>
      </c>
      <c r="E9" s="1143" t="s">
        <v>1575</v>
      </c>
      <c r="F9" s="573"/>
      <c r="H9" s="3096" t="s">
        <v>3580</v>
      </c>
      <c r="J9" s="1290"/>
      <c r="K9" s="3097" t="s">
        <v>3578</v>
      </c>
      <c r="L9" s="3868">
        <f>スコア!O129</f>
        <v>3</v>
      </c>
      <c r="M9" s="3869"/>
      <c r="N9" s="1291"/>
      <c r="Q9" s="2687"/>
      <c r="R9" s="2687"/>
      <c r="S9" s="2687"/>
      <c r="T9" s="2687"/>
      <c r="U9" s="472"/>
      <c r="V9" s="472"/>
      <c r="X9" s="2687"/>
      <c r="Z9" s="472"/>
    </row>
    <row r="10" spans="1:26" s="3059" customFormat="1" ht="24" customHeight="1" thickBot="1">
      <c r="A10" s="3094"/>
      <c r="D10" s="1326">
        <v>1.4</v>
      </c>
      <c r="E10" s="1143" t="s">
        <v>2566</v>
      </c>
      <c r="F10" s="1143"/>
      <c r="H10" s="3096" t="s">
        <v>3581</v>
      </c>
      <c r="J10" s="1290"/>
      <c r="K10" s="3097" t="s">
        <v>3582</v>
      </c>
      <c r="L10" s="3870">
        <f>スコア!O138</f>
        <v>3</v>
      </c>
      <c r="M10" s="3871"/>
      <c r="N10" s="1291"/>
      <c r="Q10" s="2687"/>
      <c r="R10" s="2687"/>
      <c r="S10" s="2687"/>
      <c r="T10" s="2687"/>
      <c r="U10" s="472"/>
      <c r="V10" s="472"/>
      <c r="X10" s="2687"/>
      <c r="Z10" s="472"/>
    </row>
    <row r="11" spans="1:26" s="3059" customFormat="1" ht="24" customHeight="1" thickBot="1">
      <c r="A11" s="3094"/>
      <c r="B11" s="1326">
        <v>2</v>
      </c>
      <c r="C11" s="915" t="s">
        <v>3583</v>
      </c>
      <c r="D11" s="3095"/>
      <c r="E11" s="1143"/>
      <c r="F11" s="910"/>
      <c r="G11" s="3061"/>
      <c r="J11" s="1290"/>
      <c r="K11" s="1290"/>
      <c r="M11" s="3098"/>
      <c r="N11" s="1291"/>
      <c r="Q11" s="2687"/>
      <c r="R11" s="2687"/>
      <c r="S11" s="2687"/>
      <c r="T11" s="2687"/>
      <c r="U11" s="472"/>
      <c r="V11" s="472"/>
      <c r="X11" s="2687"/>
      <c r="Z11" s="472"/>
    </row>
    <row r="12" spans="1:26" s="3059" customFormat="1" ht="24" customHeight="1">
      <c r="A12" s="3094"/>
      <c r="D12" s="1326">
        <v>2.1</v>
      </c>
      <c r="E12" s="915" t="s">
        <v>564</v>
      </c>
      <c r="F12" s="915"/>
      <c r="G12" s="3061"/>
      <c r="H12" s="3096" t="s">
        <v>3584</v>
      </c>
      <c r="J12" s="1290"/>
      <c r="K12" s="3097" t="s">
        <v>3578</v>
      </c>
      <c r="L12" s="3866">
        <f>スコア!O148</f>
        <v>3</v>
      </c>
      <c r="M12" s="3867"/>
      <c r="N12" s="1291"/>
      <c r="Q12" s="2687"/>
      <c r="R12" s="2687"/>
      <c r="S12" s="2687"/>
      <c r="T12" s="2687"/>
      <c r="U12" s="472"/>
      <c r="V12" s="472"/>
      <c r="X12" s="2687"/>
      <c r="Z12" s="472"/>
    </row>
    <row r="13" spans="1:26" s="3059" customFormat="1" ht="24" customHeight="1">
      <c r="A13" s="3094"/>
      <c r="D13" s="908">
        <v>2.2000000000000002</v>
      </c>
      <c r="E13" s="915" t="s">
        <v>3585</v>
      </c>
      <c r="F13" s="910"/>
      <c r="G13" s="3061"/>
      <c r="H13" s="3096" t="s">
        <v>3586</v>
      </c>
      <c r="J13" s="1290"/>
      <c r="K13" s="3097" t="s">
        <v>3582</v>
      </c>
      <c r="L13" s="3868">
        <f>スコア!O178</f>
        <v>3</v>
      </c>
      <c r="M13" s="3869"/>
      <c r="N13" s="1291"/>
      <c r="Q13" s="2687"/>
      <c r="R13" s="2687"/>
      <c r="S13" s="2687"/>
      <c r="T13" s="2687"/>
      <c r="U13" s="472"/>
      <c r="V13" s="472"/>
      <c r="X13" s="2687"/>
      <c r="Z13" s="472"/>
    </row>
    <row r="14" spans="1:26" s="3059" customFormat="1" ht="24" customHeight="1">
      <c r="A14" s="3094"/>
      <c r="D14" s="1326">
        <v>2.2999999999999998</v>
      </c>
      <c r="E14" s="915" t="s">
        <v>1282</v>
      </c>
      <c r="F14" s="916"/>
      <c r="G14" s="3061"/>
      <c r="H14" s="3096" t="s">
        <v>3587</v>
      </c>
      <c r="J14" s="1290"/>
      <c r="K14" s="3097" t="s">
        <v>3578</v>
      </c>
      <c r="L14" s="3868">
        <f>スコア!O151</f>
        <v>3</v>
      </c>
      <c r="M14" s="3869"/>
      <c r="N14" s="1291"/>
      <c r="Q14" s="2687"/>
      <c r="R14" s="2687"/>
      <c r="S14" s="2687"/>
      <c r="T14" s="2687"/>
      <c r="U14" s="472"/>
      <c r="V14" s="472"/>
      <c r="X14" s="2687"/>
      <c r="Z14" s="472"/>
    </row>
    <row r="15" spans="1:26" s="3059" customFormat="1" ht="24" customHeight="1" thickBot="1">
      <c r="A15" s="3094"/>
      <c r="D15" s="1404">
        <v>2.4</v>
      </c>
      <c r="E15" s="1042" t="s">
        <v>3588</v>
      </c>
      <c r="F15" s="910"/>
      <c r="G15" s="3061"/>
      <c r="H15" s="3096" t="s">
        <v>3589</v>
      </c>
      <c r="J15" s="1290"/>
      <c r="K15" s="3097" t="s">
        <v>3578</v>
      </c>
      <c r="L15" s="3870">
        <f>スコア!O181</f>
        <v>3</v>
      </c>
      <c r="M15" s="3871"/>
      <c r="N15" s="1291"/>
      <c r="Q15" s="2687"/>
      <c r="R15" s="2687"/>
      <c r="S15" s="2687"/>
      <c r="T15" s="2687"/>
      <c r="U15" s="472"/>
      <c r="V15" s="472"/>
      <c r="X15" s="2687"/>
      <c r="Z15" s="472"/>
    </row>
    <row r="16" spans="1:26" s="3059" customFormat="1" ht="24" customHeight="1">
      <c r="A16" s="3094"/>
      <c r="C16" s="1404"/>
      <c r="D16" s="1143"/>
      <c r="F16" s="910"/>
      <c r="G16" s="3061"/>
      <c r="J16" s="1290"/>
      <c r="K16" s="913"/>
      <c r="L16" s="1290"/>
      <c r="M16" s="3099"/>
      <c r="N16" s="1291"/>
      <c r="Q16" s="2687"/>
      <c r="R16" s="2687"/>
      <c r="S16" s="2687"/>
      <c r="T16" s="2687"/>
      <c r="U16" s="472"/>
      <c r="V16" s="472"/>
      <c r="X16" s="2687"/>
      <c r="Z16" s="472"/>
    </row>
    <row r="17" spans="1:26" s="3059" customFormat="1" ht="18" customHeight="1">
      <c r="A17" s="3094"/>
      <c r="B17" s="1288" t="e">
        <f>#REF!</f>
        <v>#REF!</v>
      </c>
      <c r="C17" s="1289"/>
      <c r="D17" s="910"/>
      <c r="F17" s="910"/>
      <c r="G17" s="3061"/>
      <c r="J17" s="1450"/>
      <c r="K17" s="152"/>
      <c r="L17" s="1290"/>
      <c r="M17" s="1059"/>
      <c r="Q17" s="2687"/>
      <c r="R17" s="2687"/>
      <c r="S17" s="2687"/>
      <c r="T17" s="2687"/>
      <c r="U17" s="3060" t="s">
        <v>2586</v>
      </c>
      <c r="V17" s="3060" t="s">
        <v>3590</v>
      </c>
      <c r="X17" s="2687"/>
      <c r="Z17" s="3060" t="s">
        <v>3591</v>
      </c>
    </row>
    <row r="18" spans="1:26" s="3059" customFormat="1" ht="6" customHeight="1">
      <c r="A18" s="3094"/>
      <c r="C18" s="1288"/>
      <c r="D18" s="1289"/>
      <c r="E18" s="910"/>
      <c r="F18" s="910"/>
      <c r="G18" s="3061"/>
      <c r="J18" s="1290"/>
      <c r="K18" s="913"/>
      <c r="L18" s="1290"/>
      <c r="M18" s="3099"/>
      <c r="N18" s="1291"/>
      <c r="Q18" s="2687"/>
      <c r="R18" s="2687"/>
      <c r="S18" s="2687"/>
      <c r="T18" s="2687"/>
      <c r="U18" s="3060" t="s">
        <v>3592</v>
      </c>
      <c r="V18" s="3060"/>
      <c r="X18" s="2687"/>
      <c r="Z18" s="3060" t="s">
        <v>3575</v>
      </c>
    </row>
    <row r="19" spans="1:26" s="3059" customFormat="1" ht="24" customHeight="1" thickBot="1">
      <c r="A19" s="3094"/>
      <c r="B19" s="1326">
        <v>1</v>
      </c>
      <c r="C19" s="915" t="s">
        <v>3593</v>
      </c>
      <c r="D19" s="3095"/>
      <c r="E19" s="573"/>
      <c r="F19" s="910"/>
      <c r="G19" s="3061"/>
      <c r="J19" s="1290"/>
      <c r="K19" s="913"/>
      <c r="L19" s="1290"/>
      <c r="M19" s="3099"/>
      <c r="N19" s="1291"/>
      <c r="Q19" s="2687"/>
      <c r="R19" s="2687"/>
      <c r="S19" s="2687"/>
      <c r="T19" s="2687"/>
      <c r="U19" s="472"/>
      <c r="V19" s="472"/>
      <c r="X19" s="2687"/>
      <c r="Z19" s="472"/>
    </row>
    <row r="20" spans="1:26" s="3059" customFormat="1" ht="24" customHeight="1" thickBot="1">
      <c r="A20" s="3094"/>
      <c r="D20" s="1404">
        <v>1.1000000000000001</v>
      </c>
      <c r="E20" s="1143" t="s">
        <v>501</v>
      </c>
      <c r="F20" s="916"/>
      <c r="G20" s="3061"/>
      <c r="H20" s="3096" t="s">
        <v>3594</v>
      </c>
      <c r="J20" s="1290"/>
      <c r="K20" s="3097" t="s">
        <v>3582</v>
      </c>
      <c r="L20" s="3864">
        <f>スコア!O113</f>
        <v>3</v>
      </c>
      <c r="M20" s="3865"/>
      <c r="N20" s="1291"/>
      <c r="Q20" s="2687"/>
      <c r="R20" s="2687"/>
      <c r="S20" s="2687"/>
      <c r="T20" s="2687"/>
      <c r="U20" s="472"/>
      <c r="V20" s="472"/>
      <c r="X20" s="2687"/>
      <c r="Z20" s="472"/>
    </row>
    <row r="21" spans="1:26" s="3059" customFormat="1" ht="24" customHeight="1" thickBot="1">
      <c r="A21" s="3094"/>
      <c r="B21" s="1326">
        <v>2</v>
      </c>
      <c r="C21" s="915" t="s">
        <v>3595</v>
      </c>
      <c r="D21" s="3095"/>
      <c r="E21" s="1143"/>
      <c r="F21" s="910"/>
      <c r="G21" s="3061"/>
      <c r="J21" s="1290"/>
      <c r="K21" s="1290"/>
      <c r="M21" s="3100"/>
      <c r="N21" s="1291"/>
      <c r="Q21" s="2687"/>
      <c r="R21" s="2687"/>
      <c r="S21" s="2687"/>
      <c r="T21" s="2687"/>
      <c r="U21" s="472"/>
      <c r="V21" s="472"/>
      <c r="X21" s="2687"/>
      <c r="Z21" s="472"/>
    </row>
    <row r="22" spans="1:26" s="3059" customFormat="1" ht="24" customHeight="1" thickBot="1">
      <c r="A22" s="3094"/>
      <c r="D22" s="1404">
        <v>2.1</v>
      </c>
      <c r="E22" s="1143" t="s">
        <v>238</v>
      </c>
      <c r="F22" s="916"/>
      <c r="G22" s="3061"/>
      <c r="H22" s="3096" t="s">
        <v>3596</v>
      </c>
      <c r="J22" s="1290"/>
      <c r="K22" s="3097" t="s">
        <v>3578</v>
      </c>
      <c r="L22" s="3864">
        <f>スコア!O116</f>
        <v>3</v>
      </c>
      <c r="M22" s="3865"/>
      <c r="N22" s="1291"/>
      <c r="Q22" s="2687"/>
      <c r="R22" s="2687"/>
      <c r="S22" s="2687"/>
      <c r="T22" s="2687"/>
      <c r="U22" s="472"/>
      <c r="V22" s="472"/>
      <c r="X22" s="2687"/>
      <c r="Z22" s="472"/>
    </row>
    <row r="23" spans="1:26" ht="21" customHeight="1">
      <c r="C23" s="3061"/>
      <c r="D23" s="3101" t="s">
        <v>3597</v>
      </c>
      <c r="E23" s="3102"/>
      <c r="F23" s="1295"/>
      <c r="G23" s="1296"/>
      <c r="H23" s="1287"/>
      <c r="I23" s="1287"/>
      <c r="J23" s="909"/>
      <c r="K23" s="909"/>
      <c r="L23" s="909"/>
      <c r="M23" s="909"/>
      <c r="N23" s="909"/>
    </row>
    <row r="24" spans="1:26" ht="16.5" thickBot="1">
      <c r="B24" s="1169"/>
      <c r="C24" s="918"/>
      <c r="D24" s="1284"/>
      <c r="E24" s="3057" t="s">
        <v>3598</v>
      </c>
      <c r="F24" s="3576" t="s">
        <v>422</v>
      </c>
      <c r="G24" s="3577"/>
      <c r="H24" s="3577"/>
      <c r="I24" s="3577"/>
      <c r="J24" s="3577"/>
      <c r="K24" s="3577"/>
      <c r="L24" s="3577"/>
      <c r="M24" s="3578"/>
      <c r="N24" s="3103"/>
    </row>
    <row r="25" spans="1:26" ht="75.75" customHeight="1" thickBot="1">
      <c r="B25" s="1169"/>
      <c r="C25" s="559"/>
      <c r="D25" s="3104"/>
      <c r="E25" s="3105"/>
      <c r="F25" s="3863" t="s">
        <v>3599</v>
      </c>
      <c r="G25" s="3559"/>
      <c r="H25" s="3559"/>
      <c r="I25" s="3559"/>
      <c r="J25" s="3559"/>
      <c r="K25" s="3559"/>
      <c r="L25" s="3559"/>
      <c r="M25" s="3479"/>
      <c r="N25" s="3103"/>
    </row>
    <row r="26" spans="1:26" ht="6" customHeight="1">
      <c r="N26" s="1379"/>
    </row>
    <row r="27" spans="1:26" ht="25.5" customHeight="1">
      <c r="A27" s="559"/>
      <c r="D27" s="3106" t="s">
        <v>3600</v>
      </c>
      <c r="E27" s="1295"/>
      <c r="F27" s="909"/>
      <c r="G27" s="1296"/>
      <c r="H27" s="1287"/>
      <c r="I27" s="1287"/>
      <c r="J27" s="909"/>
      <c r="K27" s="909"/>
      <c r="L27" s="909"/>
      <c r="M27" s="909"/>
      <c r="N27" s="1229"/>
      <c r="O27" s="3059"/>
      <c r="P27" s="3059"/>
    </row>
    <row r="28" spans="1:26" ht="25.5" customHeight="1" thickBot="1">
      <c r="A28" s="559"/>
      <c r="B28" s="1169"/>
      <c r="C28" s="918"/>
      <c r="D28" s="1284"/>
      <c r="E28" s="3058" t="s">
        <v>3598</v>
      </c>
      <c r="F28" s="3576" t="s">
        <v>422</v>
      </c>
      <c r="G28" s="3577"/>
      <c r="H28" s="3577"/>
      <c r="I28" s="3577"/>
      <c r="J28" s="3577"/>
      <c r="K28" s="3577"/>
      <c r="L28" s="3577"/>
      <c r="M28" s="3578"/>
      <c r="N28" s="3103"/>
    </row>
    <row r="29" spans="1:26" ht="40.5" customHeight="1" thickBot="1">
      <c r="A29" s="559"/>
      <c r="B29" s="1169"/>
      <c r="C29" s="559"/>
      <c r="D29" s="3104"/>
      <c r="E29" s="3105"/>
      <c r="F29" s="3863" t="s">
        <v>3601</v>
      </c>
      <c r="G29" s="3559"/>
      <c r="H29" s="3559"/>
      <c r="I29" s="3559"/>
      <c r="J29" s="3559"/>
      <c r="K29" s="3559"/>
      <c r="L29" s="3559"/>
      <c r="M29" s="3479"/>
      <c r="N29" s="3103"/>
    </row>
    <row r="30" spans="1:26" s="3059" customFormat="1" ht="24" customHeight="1">
      <c r="A30" s="2687"/>
      <c r="B30" s="3061"/>
      <c r="C30" s="3061"/>
      <c r="D30" s="3061"/>
      <c r="E30" s="3061"/>
      <c r="F30" s="3061"/>
      <c r="G30" s="3061"/>
      <c r="H30" s="3061"/>
      <c r="I30" s="2687"/>
      <c r="J30" s="2687"/>
      <c r="K30" s="2687"/>
      <c r="L30" s="2687"/>
      <c r="M30" s="2687"/>
      <c r="N30" s="1379"/>
      <c r="O30" s="2687"/>
    </row>
    <row r="31" spans="1:26" s="3059" customFormat="1" ht="6" customHeight="1">
      <c r="A31" s="909"/>
      <c r="B31" s="908"/>
      <c r="C31" s="909"/>
      <c r="D31" s="909"/>
      <c r="E31" s="909"/>
      <c r="F31" s="909"/>
      <c r="G31" s="909"/>
      <c r="H31" s="909"/>
      <c r="I31" s="909"/>
      <c r="J31" s="909"/>
      <c r="K31" s="909"/>
      <c r="L31" s="909"/>
      <c r="M31" s="909"/>
      <c r="N31" s="472"/>
      <c r="O31" s="3107"/>
      <c r="P31" s="3107"/>
      <c r="Q31" s="3107"/>
      <c r="W31" s="2687"/>
    </row>
    <row r="32" spans="1:26" s="3059" customFormat="1" ht="18">
      <c r="A32" s="909"/>
      <c r="B32" s="1288" t="e">
        <f>#REF!</f>
        <v>#REF!</v>
      </c>
      <c r="C32" s="910"/>
      <c r="D32" s="909"/>
      <c r="E32" s="909"/>
      <c r="F32" s="909"/>
      <c r="G32" s="1229"/>
      <c r="H32" s="1450"/>
      <c r="I32" s="152"/>
      <c r="J32" s="152"/>
      <c r="K32" s="1229"/>
      <c r="L32" s="1229"/>
      <c r="M32" s="3108"/>
      <c r="N32" s="472"/>
      <c r="P32" s="3109"/>
      <c r="Q32" s="3060" t="s">
        <v>1964</v>
      </c>
      <c r="S32" s="3060" t="s">
        <v>3591</v>
      </c>
      <c r="W32" s="2687"/>
    </row>
    <row r="33" spans="1:26" s="3059" customFormat="1" ht="6" customHeight="1">
      <c r="A33" s="909"/>
      <c r="B33" s="908"/>
      <c r="C33" s="910"/>
      <c r="D33" s="909"/>
      <c r="E33" s="909"/>
      <c r="F33" s="909"/>
      <c r="G33" s="909"/>
      <c r="H33" s="909"/>
      <c r="I33" s="909"/>
      <c r="J33" s="909"/>
      <c r="K33" s="909"/>
      <c r="L33" s="909"/>
      <c r="M33" s="909"/>
      <c r="N33" s="472"/>
      <c r="Q33" s="3060"/>
      <c r="S33" s="3060" t="s">
        <v>3575</v>
      </c>
      <c r="W33" s="2687"/>
    </row>
    <row r="34" spans="1:26" s="3059" customFormat="1" ht="24" customHeight="1" thickBot="1">
      <c r="A34" s="3094"/>
      <c r="B34" s="1326">
        <v>1</v>
      </c>
      <c r="C34" s="915" t="s">
        <v>3602</v>
      </c>
      <c r="D34" s="3095"/>
      <c r="E34" s="910"/>
      <c r="F34" s="3061"/>
      <c r="G34" s="3061"/>
      <c r="H34" s="1290"/>
      <c r="J34" s="1290"/>
      <c r="K34" s="913"/>
      <c r="L34" s="913"/>
      <c r="M34" s="1290"/>
      <c r="N34" s="1291"/>
      <c r="Q34" s="2687"/>
      <c r="R34" s="2687"/>
      <c r="S34" s="2687"/>
      <c r="T34" s="2687"/>
      <c r="U34" s="472"/>
      <c r="V34" s="472"/>
      <c r="X34" s="2687"/>
      <c r="Z34" s="472"/>
    </row>
    <row r="35" spans="1:26" s="3059" customFormat="1" ht="24" customHeight="1" thickBot="1">
      <c r="A35" s="3094"/>
      <c r="D35" s="1326">
        <v>1.1000000000000001</v>
      </c>
      <c r="E35" s="1042" t="s">
        <v>994</v>
      </c>
      <c r="F35" s="1042"/>
      <c r="G35" s="3096" t="s">
        <v>3603</v>
      </c>
      <c r="J35" s="1290"/>
      <c r="K35" s="3097" t="s">
        <v>3604</v>
      </c>
      <c r="L35" s="3864">
        <f>IF(スコア!O48=0,"対象外",スコア!O48)</f>
        <v>3</v>
      </c>
      <c r="M35" s="3865"/>
      <c r="N35" s="1291"/>
      <c r="Q35" s="2687"/>
      <c r="R35" s="2687"/>
      <c r="S35" s="2687"/>
      <c r="T35" s="2687"/>
      <c r="U35" s="472"/>
      <c r="V35" s="472"/>
      <c r="X35" s="2687"/>
      <c r="Z35" s="472"/>
    </row>
    <row r="36" spans="1:26" s="3059" customFormat="1" ht="24" customHeight="1">
      <c r="A36" s="3094"/>
      <c r="D36" s="1404">
        <v>1.2</v>
      </c>
      <c r="E36" s="915" t="s">
        <v>2169</v>
      </c>
      <c r="F36" s="3061"/>
      <c r="G36" s="3096" t="s">
        <v>3605</v>
      </c>
      <c r="J36" s="1290"/>
      <c r="K36" s="3097" t="s">
        <v>3582</v>
      </c>
      <c r="L36" s="3866">
        <f>IF(スコア!O67=0,"対象外",スコア!O67)</f>
        <v>3</v>
      </c>
      <c r="M36" s="3867"/>
      <c r="N36" s="1291"/>
      <c r="Q36" s="2687"/>
      <c r="R36" s="2687"/>
      <c r="S36" s="2687"/>
      <c r="T36" s="2687"/>
      <c r="U36" s="472"/>
      <c r="V36" s="472"/>
      <c r="X36" s="2687"/>
      <c r="Z36" s="472"/>
    </row>
    <row r="37" spans="1:26" s="3059" customFormat="1" ht="23.25" customHeight="1" thickBot="1">
      <c r="A37" s="916"/>
      <c r="B37" s="1326">
        <v>2</v>
      </c>
      <c r="C37" s="915" t="s">
        <v>3606</v>
      </c>
      <c r="D37" s="3095"/>
      <c r="E37" s="915"/>
      <c r="F37" s="916"/>
      <c r="G37" s="916"/>
      <c r="J37" s="916"/>
      <c r="K37" s="916"/>
      <c r="L37" s="3110"/>
      <c r="M37" s="3111"/>
      <c r="N37" s="472"/>
      <c r="S37" s="3060" t="s">
        <v>3607</v>
      </c>
      <c r="W37" s="2687"/>
    </row>
    <row r="38" spans="1:26" s="3059" customFormat="1" ht="23.25" customHeight="1" thickBot="1">
      <c r="A38" s="1120"/>
      <c r="D38" s="1326">
        <v>2.1</v>
      </c>
      <c r="E38" s="1143" t="s">
        <v>3608</v>
      </c>
      <c r="F38" s="1152"/>
      <c r="G38" s="3096" t="s">
        <v>3609</v>
      </c>
      <c r="J38" s="916"/>
      <c r="K38" s="3097" t="s">
        <v>3578</v>
      </c>
      <c r="L38" s="3864">
        <f>スコア!O79</f>
        <v>3</v>
      </c>
      <c r="M38" s="3865"/>
      <c r="N38" s="472"/>
    </row>
    <row r="39" spans="1:26" ht="5.25" customHeight="1">
      <c r="B39" s="3061"/>
      <c r="D39" s="3061"/>
      <c r="E39" s="3061"/>
      <c r="F39" s="3061"/>
      <c r="G39" s="3061"/>
      <c r="H39" s="3061"/>
      <c r="N39" s="1379"/>
    </row>
    <row r="40" spans="1:26" ht="23.25" customHeight="1">
      <c r="A40" s="559"/>
      <c r="B40" s="3061"/>
      <c r="D40" s="3101" t="s">
        <v>3610</v>
      </c>
      <c r="E40" s="3112"/>
      <c r="F40" s="909"/>
      <c r="G40" s="1296"/>
      <c r="H40" s="1287"/>
      <c r="I40" s="1287"/>
      <c r="J40" s="909"/>
      <c r="K40" s="909"/>
      <c r="L40" s="909"/>
      <c r="M40" s="909"/>
      <c r="N40" s="1229"/>
    </row>
    <row r="41" spans="1:26" ht="15" customHeight="1" thickBot="1">
      <c r="A41" s="559"/>
      <c r="B41" s="1169"/>
      <c r="C41" s="918"/>
      <c r="D41" s="1284"/>
      <c r="E41" s="3058" t="s">
        <v>3598</v>
      </c>
      <c r="F41" s="3576" t="s">
        <v>422</v>
      </c>
      <c r="G41" s="3577"/>
      <c r="H41" s="3577"/>
      <c r="I41" s="3577"/>
      <c r="J41" s="3577"/>
      <c r="K41" s="3577"/>
      <c r="L41" s="3577"/>
      <c r="M41" s="3578"/>
      <c r="N41" s="3103"/>
    </row>
    <row r="42" spans="1:26" ht="86.25" customHeight="1" thickBot="1">
      <c r="A42" s="559"/>
      <c r="B42" s="903"/>
      <c r="C42" s="559"/>
      <c r="D42" s="904"/>
      <c r="E42" s="3113"/>
      <c r="F42" s="3863" t="s">
        <v>3611</v>
      </c>
      <c r="G42" s="3559"/>
      <c r="H42" s="3559"/>
      <c r="I42" s="3559"/>
      <c r="J42" s="3559"/>
      <c r="K42" s="3559"/>
      <c r="L42" s="3559"/>
      <c r="M42" s="3479"/>
      <c r="N42" s="3103"/>
    </row>
    <row r="43" spans="1:26" ht="16.5" customHeight="1"/>
    <row r="44" spans="1:26" ht="28.5" hidden="1" customHeight="1"/>
    <row r="45" spans="1:26" ht="48" hidden="1" customHeight="1"/>
    <row r="46" spans="1:26" ht="36.75" hidden="1" customHeight="1"/>
    <row r="47" spans="1:26" ht="18.75" hidden="1" customHeight="1"/>
    <row r="48" spans="1:26" ht="13.5" hidden="1" customHeight="1"/>
    <row r="49" ht="60" hidden="1" customHeight="1"/>
    <row r="50" ht="31.5" hidden="1" customHeight="1"/>
    <row r="51" ht="56.25" hidden="1" customHeight="1"/>
    <row r="52" ht="20.25" hidden="1" customHeight="1"/>
    <row r="53" ht="55.5" hidden="1" customHeight="1"/>
    <row r="54" ht="46.5" hidden="1" customHeight="1"/>
    <row r="55" ht="23.25" hidden="1" customHeight="1"/>
    <row r="56" ht="48" hidden="1" customHeight="1"/>
    <row r="57" ht="46.5" hidden="1" customHeight="1"/>
    <row r="58" ht="51.75" hidden="1" customHeight="1"/>
    <row r="59" ht="51" hidden="1" customHeight="1"/>
    <row r="60" ht="45" hidden="1" customHeight="1"/>
    <row r="61" ht="16.5" hidden="1" customHeight="1"/>
    <row r="62" ht="15" hidden="1" customHeight="1"/>
    <row r="63" ht="29.25" hidden="1" customHeight="1"/>
    <row r="64" ht="21.75" hidden="1" customHeight="1"/>
    <row r="65" ht="22.5" hidden="1" customHeight="1"/>
    <row r="66" ht="25.5" hidden="1" customHeight="1"/>
    <row r="67" ht="25.5" hidden="1" customHeight="1"/>
    <row r="68" ht="25.5" hidden="1" customHeight="1"/>
    <row r="69" ht="25.5" hidden="1" customHeight="1"/>
    <row r="70" ht="25.5" hidden="1" customHeight="1"/>
    <row r="71" ht="25.5" hidden="1" customHeight="1"/>
    <row r="72" ht="13.5" hidden="1" customHeight="1"/>
    <row r="73" ht="25.5" hidden="1" customHeight="1"/>
    <row r="74" ht="32.25" hidden="1" customHeight="1"/>
    <row r="75" ht="34.5" hidden="1" customHeight="1"/>
    <row r="76" ht="48.75" hidden="1" customHeight="1"/>
    <row r="77" ht="35.25" hidden="1" customHeight="1"/>
    <row r="78" ht="54.75" hidden="1" customHeight="1"/>
    <row r="79" ht="42" hidden="1" customHeight="1"/>
    <row r="80" ht="54" hidden="1" customHeight="1"/>
    <row r="81" ht="37.5" hidden="1" customHeight="1"/>
    <row r="82" ht="50.25" hidden="1" customHeight="1"/>
    <row r="83" ht="36" hidden="1" customHeight="1"/>
    <row r="84" ht="34.5" hidden="1" customHeight="1"/>
    <row r="85" ht="30"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row r="124" ht="13.5" hidden="1" customHeight="1"/>
    <row r="125" ht="13.5" hidden="1" customHeight="1"/>
    <row r="126" ht="13.5" hidden="1" customHeight="1"/>
    <row r="127" ht="13.5" hidden="1" customHeight="1"/>
    <row r="128"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7"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row r="192" ht="13.5" hidden="1" customHeight="1"/>
    <row r="193" ht="13.5" hidden="1" customHeight="1"/>
    <row r="194" ht="13.5" hidden="1" customHeight="1"/>
    <row r="195" ht="13.5" hidden="1" customHeight="1"/>
    <row r="196" ht="13.5" hidden="1" customHeight="1"/>
    <row r="197" ht="13.5" hidden="1" customHeight="1"/>
    <row r="198" ht="13.5" hidden="1" customHeight="1"/>
    <row r="199" ht="13.5" hidden="1" customHeight="1"/>
    <row r="200" ht="13.5" hidden="1" customHeight="1"/>
    <row r="201" ht="13.5" hidden="1" customHeight="1"/>
    <row r="202" ht="13.5" hidden="1" customHeight="1"/>
    <row r="203" ht="13.5" hidden="1" customHeight="1"/>
    <row r="204" ht="13.5" hidden="1" customHeight="1"/>
    <row r="205" ht="13.5" hidden="1" customHeight="1"/>
    <row r="206" ht="13.5" hidden="1" customHeight="1"/>
    <row r="207" ht="13.5" hidden="1" customHeight="1"/>
    <row r="208" ht="13.5" hidden="1" customHeight="1"/>
    <row r="209" ht="13.5" hidden="1" customHeight="1"/>
    <row r="210" ht="13.5" hidden="1" customHeight="1"/>
    <row r="211" ht="13.5" hidden="1" customHeight="1"/>
    <row r="212" ht="13.5" hidden="1" customHeight="1"/>
    <row r="213" ht="13.5" hidden="1" customHeight="1"/>
    <row r="214" ht="13.5" hidden="1" customHeight="1"/>
    <row r="215" ht="13.5" hidden="1" customHeight="1"/>
    <row r="216" ht="13.5" hidden="1" customHeight="1"/>
    <row r="217" ht="13.5" hidden="1" customHeight="1"/>
    <row r="218" ht="13.5" hidden="1" customHeight="1"/>
    <row r="219" ht="13.5" hidden="1" customHeight="1"/>
    <row r="220" ht="13.5" hidden="1" customHeight="1"/>
    <row r="221" ht="13.5" hidden="1" customHeight="1"/>
    <row r="222" ht="13.5" hidden="1" customHeight="1"/>
    <row r="223" ht="13.5" hidden="1" customHeight="1"/>
    <row r="224" ht="13.5" hidden="1" customHeight="1"/>
    <row r="225" ht="13.5" hidden="1" customHeight="1"/>
    <row r="226" ht="13.5" hidden="1" customHeight="1"/>
    <row r="227" ht="13.5" hidden="1" customHeight="1"/>
    <row r="228" ht="13.5" hidden="1" customHeight="1"/>
    <row r="229" ht="13.5" hidden="1" customHeight="1"/>
    <row r="230" ht="13.5" hidden="1" customHeight="1"/>
    <row r="231" ht="13.5" hidden="1" customHeight="1"/>
    <row r="232" ht="13.5" hidden="1" customHeight="1"/>
    <row r="233" ht="13.5" hidden="1" customHeight="1"/>
    <row r="234" ht="13.5" hidden="1" customHeight="1"/>
    <row r="235" ht="13.5" hidden="1" customHeight="1"/>
    <row r="236" ht="13.5" hidden="1" customHeight="1"/>
    <row r="237" ht="13.5" hidden="1" customHeight="1"/>
    <row r="238" ht="13.5" hidden="1" customHeight="1"/>
    <row r="239" ht="13.5" hidden="1" customHeight="1"/>
    <row r="240" ht="13.5" hidden="1" customHeight="1"/>
    <row r="241" ht="13.5" hidden="1" customHeight="1"/>
    <row r="242" ht="13.5" hidden="1" customHeight="1"/>
    <row r="243" ht="13.5" hidden="1" customHeight="1"/>
    <row r="244" ht="13.5" hidden="1" customHeight="1"/>
    <row r="245" ht="13.5" hidden="1" customHeight="1"/>
    <row r="246" ht="13.5" hidden="1" customHeight="1"/>
    <row r="247" ht="13.5" hidden="1" customHeight="1"/>
    <row r="248" ht="13.5" hidden="1" customHeight="1"/>
    <row r="249" ht="13.5" hidden="1" customHeight="1"/>
    <row r="250" ht="13.5" hidden="1" customHeight="1"/>
    <row r="251" ht="13.5" hidden="1" customHeight="1"/>
    <row r="252" ht="13.5" hidden="1" customHeight="1"/>
    <row r="253" ht="13.5" hidden="1" customHeight="1"/>
    <row r="254" ht="13.5" hidden="1" customHeight="1"/>
    <row r="255" ht="13.5" hidden="1" customHeight="1"/>
    <row r="256" ht="13.5" hidden="1" customHeight="1"/>
    <row r="257" ht="13.5" hidden="1" customHeight="1"/>
    <row r="258" ht="13.5" hidden="1" customHeight="1"/>
    <row r="259" ht="13.5" hidden="1" customHeight="1"/>
    <row r="260" ht="13.5" hidden="1" customHeight="1"/>
    <row r="261" ht="13.5" hidden="1" customHeight="1"/>
    <row r="262" ht="13.5" hidden="1" customHeight="1"/>
    <row r="263" ht="13.5" hidden="1" customHeight="1"/>
    <row r="264" ht="13.5" hidden="1" customHeight="1"/>
    <row r="265" ht="13.5" hidden="1" customHeight="1"/>
    <row r="266" ht="13.5" hidden="1" customHeight="1"/>
    <row r="267" ht="13.5" hidden="1" customHeight="1"/>
    <row r="268" ht="13.5" hidden="1" customHeight="1"/>
    <row r="269" ht="13.5" hidden="1" customHeight="1"/>
    <row r="270" ht="13.5" hidden="1" customHeight="1"/>
    <row r="271" ht="13.5" hidden="1" customHeight="1"/>
    <row r="272" ht="13.5" hidden="1" customHeight="1"/>
    <row r="273" ht="13.5" hidden="1" customHeight="1"/>
    <row r="274" ht="13.5" hidden="1" customHeight="1"/>
    <row r="275" ht="13.5" hidden="1" customHeight="1"/>
    <row r="276" ht="13.5" hidden="1" customHeight="1"/>
    <row r="277" ht="13.5" hidden="1" customHeight="1"/>
    <row r="278" ht="13.5" hidden="1" customHeight="1"/>
    <row r="279" ht="13.5" hidden="1" customHeight="1"/>
    <row r="280" ht="13.5" hidden="1" customHeight="1"/>
    <row r="281" ht="13.5" hidden="1" customHeight="1"/>
    <row r="282" ht="13.5" hidden="1" customHeight="1"/>
    <row r="283" ht="13.5" hidden="1" customHeight="1"/>
    <row r="284" ht="13.5" hidden="1" customHeight="1"/>
    <row r="285" ht="13.5" hidden="1" customHeight="1"/>
    <row r="286" ht="13.5" hidden="1" customHeight="1"/>
    <row r="287" ht="13.5" hidden="1" customHeight="1"/>
    <row r="288" ht="13.5" hidden="1" customHeight="1"/>
    <row r="289" ht="13.5" hidden="1" customHeight="1"/>
    <row r="290" ht="13.5" hidden="1" customHeight="1"/>
    <row r="291" ht="13.5" hidden="1" customHeight="1"/>
    <row r="292" ht="13.5" hidden="1" customHeight="1"/>
    <row r="293" ht="13.5" hidden="1" customHeight="1"/>
    <row r="294" ht="13.5" hidden="1" customHeight="1"/>
    <row r="295" ht="13.5" hidden="1" customHeight="1"/>
    <row r="296" ht="13.5" hidden="1" customHeight="1"/>
    <row r="297" ht="13.5" hidden="1" customHeight="1"/>
    <row r="298" ht="13.5" hidden="1" customHeight="1"/>
    <row r="299" ht="13.5" hidden="1" customHeight="1"/>
    <row r="300" ht="13.5" hidden="1" customHeight="1"/>
    <row r="301" ht="13.5" hidden="1" customHeight="1"/>
    <row r="302" ht="13.5" hidden="1" customHeight="1"/>
    <row r="303" ht="13.5" hidden="1" customHeight="1"/>
    <row r="304" ht="13.5" hidden="1" customHeight="1"/>
    <row r="305" ht="13.5" hidden="1" customHeight="1"/>
    <row r="306" ht="13.5" hidden="1" customHeight="1"/>
    <row r="307" ht="13.5" hidden="1" customHeight="1"/>
    <row r="308" ht="13.5" hidden="1" customHeight="1"/>
    <row r="309" ht="13.5" hidden="1" customHeight="1"/>
    <row r="310" ht="13.5" hidden="1" customHeight="1"/>
    <row r="311" ht="13.5" hidden="1" customHeight="1"/>
    <row r="312" ht="13.5" hidden="1" customHeight="1"/>
    <row r="313" ht="13.5" hidden="1" customHeight="1"/>
    <row r="314" ht="13.5" hidden="1" customHeight="1"/>
    <row r="315" ht="13.5" hidden="1" customHeight="1"/>
    <row r="316" ht="13.5" hidden="1" customHeight="1"/>
    <row r="317" ht="13.5" hidden="1" customHeight="1"/>
    <row r="318" ht="13.5" hidden="1" customHeight="1"/>
    <row r="319" ht="13.5" hidden="1" customHeight="1"/>
    <row r="320" ht="13.5" hidden="1" customHeight="1"/>
    <row r="321" ht="13.5" hidden="1" customHeight="1"/>
    <row r="322" ht="13.5" hidden="1" customHeight="1"/>
    <row r="323" ht="13.5" hidden="1" customHeight="1"/>
    <row r="324" ht="13.5" hidden="1" customHeight="1"/>
    <row r="325" ht="13.5" hidden="1" customHeight="1"/>
    <row r="326" ht="13.5" hidden="1" customHeight="1"/>
    <row r="327" ht="13.5" hidden="1" customHeight="1"/>
    <row r="328" ht="13.5" hidden="1" customHeight="1"/>
    <row r="329" ht="13.5" hidden="1" customHeight="1"/>
    <row r="330" ht="13.5" hidden="1" customHeight="1"/>
    <row r="331" ht="13.5" hidden="1" customHeight="1"/>
    <row r="332" ht="13.5" hidden="1" customHeight="1"/>
    <row r="333" ht="13.5" hidden="1" customHeight="1"/>
    <row r="334" ht="13.5" hidden="1" customHeight="1"/>
    <row r="335" ht="13.5" hidden="1" customHeight="1"/>
    <row r="336" ht="13.5" hidden="1" customHeight="1"/>
    <row r="337" ht="13.5" hidden="1" customHeight="1"/>
    <row r="338" ht="13.5" hidden="1" customHeight="1"/>
    <row r="339" ht="13.5" hidden="1" customHeight="1"/>
    <row r="340" ht="13.5" hidden="1" customHeight="1"/>
    <row r="341" ht="13.5" hidden="1" customHeight="1"/>
    <row r="342" ht="13.5" hidden="1" customHeight="1"/>
    <row r="343" ht="13.5" hidden="1" customHeight="1"/>
    <row r="344" ht="13.5" hidden="1" customHeight="1"/>
    <row r="345" ht="13.5" hidden="1" customHeight="1"/>
    <row r="346" ht="13.5" hidden="1" customHeight="1"/>
    <row r="347" ht="13.5" hidden="1" customHeight="1"/>
    <row r="348" ht="13.5" hidden="1" customHeight="1"/>
    <row r="349" ht="13.5" hidden="1" customHeight="1"/>
    <row r="350" ht="13.5" hidden="1" customHeight="1"/>
    <row r="351" ht="13.5" hidden="1" customHeight="1"/>
    <row r="352" ht="13.5" hidden="1" customHeight="1"/>
    <row r="353" ht="13.5" hidden="1" customHeight="1"/>
    <row r="354" ht="13.5" hidden="1" customHeight="1"/>
    <row r="355" ht="13.5" hidden="1" customHeight="1"/>
    <row r="356" ht="13.5" hidden="1" customHeight="1"/>
    <row r="357" ht="13.5" hidden="1" customHeight="1"/>
    <row r="358" ht="13.5" hidden="1" customHeight="1"/>
    <row r="359" ht="13.5" hidden="1" customHeight="1"/>
    <row r="360" ht="13.5" hidden="1" customHeight="1"/>
    <row r="361" ht="13.5" hidden="1" customHeight="1"/>
    <row r="362" ht="13.5" hidden="1" customHeight="1"/>
    <row r="363" ht="13.5" hidden="1" customHeight="1"/>
    <row r="364" ht="13.5" hidden="1" customHeight="1"/>
    <row r="365" ht="13.5" hidden="1" customHeight="1"/>
    <row r="366" ht="13.5" hidden="1" customHeight="1"/>
    <row r="367" ht="13.5" hidden="1" customHeight="1"/>
    <row r="368" ht="13.5" hidden="1" customHeight="1"/>
    <row r="369" ht="13.5" hidden="1" customHeight="1"/>
    <row r="370" ht="13.5" hidden="1" customHeight="1"/>
    <row r="371" ht="13.5" hidden="1" customHeight="1"/>
    <row r="372" ht="13.5" hidden="1" customHeight="1"/>
    <row r="373" ht="13.5" hidden="1" customHeight="1"/>
    <row r="374" ht="13.5" hidden="1" customHeight="1"/>
    <row r="375" ht="13.5" hidden="1" customHeight="1"/>
    <row r="376" ht="13.5" hidden="1" customHeight="1"/>
    <row r="377" ht="13.5" hidden="1" customHeight="1"/>
    <row r="378" ht="13.5" hidden="1" customHeight="1"/>
    <row r="379" ht="13.5" hidden="1" customHeight="1"/>
    <row r="380" ht="13.5" hidden="1" customHeight="1"/>
    <row r="381" ht="13.5" hidden="1" customHeight="1"/>
    <row r="382" ht="13.5" hidden="1" customHeight="1"/>
    <row r="383" ht="13.5" hidden="1" customHeight="1"/>
    <row r="384" ht="13.5" hidden="1" customHeight="1"/>
    <row r="385" ht="13.5" hidden="1" customHeight="1"/>
    <row r="386" ht="13.5" hidden="1" customHeight="1"/>
    <row r="387" ht="13.5" hidden="1" customHeight="1"/>
    <row r="388" ht="13.5" hidden="1" customHeight="1"/>
    <row r="389" ht="13.5" hidden="1" customHeight="1"/>
    <row r="390" ht="13.5" hidden="1" customHeight="1"/>
    <row r="391" ht="13.5" hidden="1" customHeight="1"/>
    <row r="392" ht="13.5" hidden="1" customHeight="1"/>
    <row r="393" ht="13.5" hidden="1" customHeight="1"/>
    <row r="394" ht="13.5" hidden="1" customHeight="1"/>
    <row r="395" ht="13.5" hidden="1" customHeight="1"/>
    <row r="396" ht="13.5" hidden="1" customHeight="1"/>
    <row r="397" ht="13.5" hidden="1" customHeight="1"/>
    <row r="398" ht="13.5" hidden="1" customHeight="1"/>
    <row r="399" ht="13.5" hidden="1" customHeight="1"/>
    <row r="400" ht="13.5" hidden="1" customHeight="1"/>
    <row r="401" ht="13.5" hidden="1" customHeight="1"/>
    <row r="402" ht="13.5" hidden="1" customHeight="1"/>
    <row r="403" ht="13.5" hidden="1" customHeight="1"/>
    <row r="404" ht="13.5" hidden="1" customHeight="1"/>
    <row r="405" ht="13.5" hidden="1" customHeight="1"/>
    <row r="406" ht="13.5" hidden="1" customHeight="1"/>
    <row r="407" ht="13.5" hidden="1" customHeight="1"/>
    <row r="408" ht="13.5" hidden="1" customHeight="1"/>
    <row r="409" ht="13.5" hidden="1" customHeight="1"/>
    <row r="410" ht="13.5" hidden="1" customHeight="1"/>
    <row r="411" ht="13.5" hidden="1" customHeight="1"/>
    <row r="412" ht="13.5" hidden="1" customHeight="1"/>
    <row r="413" ht="13.5" hidden="1" customHeight="1"/>
    <row r="414" ht="13.5" hidden="1" customHeight="1"/>
    <row r="415" ht="13.5" hidden="1" customHeight="1"/>
    <row r="416" ht="13.5" hidden="1" customHeight="1"/>
    <row r="417" ht="13.5" hidden="1" customHeight="1"/>
    <row r="418" ht="13.5" hidden="1" customHeight="1"/>
    <row r="419" ht="13.5" hidden="1" customHeight="1"/>
    <row r="420" ht="13.5" hidden="1" customHeight="1"/>
    <row r="421" ht="13.5" hidden="1" customHeight="1"/>
    <row r="422" ht="13.5" hidden="1" customHeight="1"/>
    <row r="423" ht="13.5" hidden="1" customHeight="1"/>
    <row r="424" ht="13.5" hidden="1" customHeight="1"/>
    <row r="425" ht="13.5" hidden="1" customHeight="1"/>
    <row r="426" ht="13.5" hidden="1" customHeight="1"/>
    <row r="427" ht="13.5" hidden="1" customHeight="1"/>
    <row r="428" ht="13.5" hidden="1" customHeight="1"/>
    <row r="429" ht="13.5" hidden="1" customHeight="1"/>
    <row r="430" ht="13.5" hidden="1" customHeight="1"/>
    <row r="431" ht="13.5" hidden="1" customHeight="1"/>
    <row r="432" ht="13.5" hidden="1" customHeight="1"/>
    <row r="433" ht="13.5" hidden="1" customHeight="1"/>
    <row r="434" ht="13.5" hidden="1" customHeight="1"/>
    <row r="435" ht="13.5" hidden="1" customHeight="1"/>
    <row r="436" ht="13.5" hidden="1" customHeight="1"/>
    <row r="437" ht="13.5" hidden="1" customHeight="1"/>
    <row r="438" ht="13.5" hidden="1" customHeight="1"/>
    <row r="439" ht="13.5" hidden="1" customHeight="1"/>
    <row r="440" ht="13.5" hidden="1" customHeight="1"/>
    <row r="441" ht="13.5" hidden="1" customHeight="1"/>
    <row r="442" ht="13.5" hidden="1" customHeight="1"/>
    <row r="443" ht="13.5" hidden="1" customHeight="1"/>
    <row r="444" ht="13.5" hidden="1" customHeight="1"/>
    <row r="445" ht="13.5" hidden="1" customHeight="1"/>
    <row r="446" ht="13.5" hidden="1" customHeight="1"/>
    <row r="447" ht="13.5" hidden="1" customHeight="1"/>
    <row r="448" ht="13.5" hidden="1" customHeight="1"/>
    <row r="449" ht="13.5" hidden="1" customHeight="1"/>
    <row r="450" ht="13.5" hidden="1" customHeight="1"/>
    <row r="451" ht="13.5" hidden="1" customHeight="1"/>
    <row r="452" ht="13.5" hidden="1" customHeight="1"/>
    <row r="453" ht="13.5" hidden="1" customHeight="1"/>
    <row r="454" ht="13.5" hidden="1" customHeight="1"/>
    <row r="455" ht="13.5" hidden="1" customHeight="1"/>
    <row r="456" ht="13.5" hidden="1" customHeight="1"/>
    <row r="457" ht="13.5" hidden="1" customHeight="1"/>
    <row r="458" ht="13.5" hidden="1" customHeight="1"/>
    <row r="459" ht="13.5" hidden="1" customHeight="1"/>
    <row r="460" ht="13.5" hidden="1" customHeight="1"/>
    <row r="461" ht="13.5" hidden="1" customHeight="1"/>
    <row r="462" ht="13.5" hidden="1" customHeight="1"/>
    <row r="463" ht="13.5" hidden="1" customHeight="1"/>
    <row r="464" ht="13.5" hidden="1" customHeight="1"/>
    <row r="465" ht="13.5" hidden="1" customHeight="1"/>
    <row r="466" ht="13.5" hidden="1" customHeight="1"/>
    <row r="467" ht="13.5" hidden="1" customHeight="1"/>
    <row r="468" ht="13.5" hidden="1" customHeight="1"/>
    <row r="469" ht="13.5" hidden="1" customHeight="1"/>
    <row r="470" ht="13.5" hidden="1" customHeight="1"/>
    <row r="471" ht="13.5" hidden="1" customHeight="1"/>
    <row r="472" ht="13.5" hidden="1" customHeight="1"/>
    <row r="473" ht="13.5" hidden="1" customHeight="1"/>
    <row r="474" ht="13.5" hidden="1" customHeight="1"/>
    <row r="475" ht="13.5" hidden="1" customHeight="1"/>
    <row r="476" ht="13.5" hidden="1" customHeight="1"/>
    <row r="477" ht="13.5" hidden="1" customHeight="1"/>
    <row r="478" ht="13.5" hidden="1" customHeight="1"/>
    <row r="479" ht="13.5" hidden="1" customHeight="1"/>
    <row r="480" ht="13.5" hidden="1" customHeight="1"/>
    <row r="481" ht="13.5" hidden="1" customHeight="1"/>
    <row r="482" ht="13.5" hidden="1" customHeight="1"/>
    <row r="483" ht="13.5" hidden="1" customHeight="1"/>
    <row r="484" ht="13.5" hidden="1" customHeight="1"/>
    <row r="485" ht="13.5" hidden="1" customHeight="1"/>
    <row r="486" ht="13.5" hidden="1" customHeight="1"/>
    <row r="487" ht="13.5" hidden="1" customHeight="1"/>
    <row r="488" ht="13.5" hidden="1" customHeight="1"/>
    <row r="489" ht="13.5" hidden="1" customHeight="1"/>
    <row r="490" ht="13.5" hidden="1" customHeight="1"/>
    <row r="491" ht="13.5" hidden="1" customHeight="1"/>
    <row r="492" ht="13.5" hidden="1" customHeight="1"/>
    <row r="493" ht="13.5" hidden="1" customHeight="1"/>
    <row r="494" ht="13.5" hidden="1" customHeight="1"/>
    <row r="495" ht="13.5" hidden="1" customHeight="1"/>
    <row r="496" ht="13.5" hidden="1" customHeight="1"/>
    <row r="497" ht="13.5" hidden="1" customHeight="1"/>
    <row r="498" ht="13.5" hidden="1" customHeight="1"/>
    <row r="499" ht="13.5" hidden="1" customHeight="1"/>
    <row r="500" ht="13.5" hidden="1" customHeight="1"/>
    <row r="501" ht="13.5" hidden="1" customHeight="1"/>
    <row r="502" ht="13.5" hidden="1" customHeight="1"/>
    <row r="503" ht="13.5" hidden="1" customHeight="1"/>
    <row r="504" ht="13.5" hidden="1" customHeight="1"/>
    <row r="505" ht="13.5" hidden="1" customHeight="1"/>
    <row r="506" ht="13.5" hidden="1" customHeight="1"/>
    <row r="507" ht="13.5" hidden="1" customHeight="1"/>
    <row r="508" ht="13.5" hidden="1" customHeight="1"/>
    <row r="509" ht="13.5" hidden="1" customHeight="1"/>
    <row r="510" ht="13.5" hidden="1" customHeight="1"/>
    <row r="511" ht="13.5" hidden="1" customHeight="1"/>
    <row r="512" ht="13.5" hidden="1" customHeight="1"/>
    <row r="513" ht="13.5" hidden="1" customHeight="1"/>
    <row r="514" ht="13.5" hidden="1" customHeight="1"/>
    <row r="515" ht="13.5" hidden="1" customHeight="1"/>
    <row r="516" ht="13.5" hidden="1" customHeight="1"/>
    <row r="517" ht="13.5" hidden="1" customHeight="1"/>
    <row r="518" ht="13.5" hidden="1" customHeight="1"/>
    <row r="519" ht="13.5" hidden="1" customHeight="1"/>
    <row r="520" ht="13.5" hidden="1" customHeight="1"/>
    <row r="521" ht="13.5" hidden="1" customHeight="1"/>
    <row r="522" ht="13.5" hidden="1" customHeight="1"/>
    <row r="523" ht="13.5" hidden="1" customHeight="1"/>
    <row r="524" ht="13.5" hidden="1" customHeight="1"/>
    <row r="525" ht="13.5" hidden="1" customHeight="1"/>
    <row r="526" ht="13.5" hidden="1" customHeight="1"/>
    <row r="527" ht="13.5" hidden="1" customHeight="1"/>
    <row r="528" ht="13.5" hidden="1" customHeight="1"/>
    <row r="529" ht="13.5" hidden="1" customHeight="1"/>
    <row r="530" ht="13.5" hidden="1" customHeight="1"/>
    <row r="531" ht="13.5" hidden="1" customHeight="1"/>
    <row r="532" ht="13.5" hidden="1" customHeight="1"/>
    <row r="533" ht="13.5" hidden="1" customHeight="1"/>
    <row r="534" ht="13.5" hidden="1" customHeight="1"/>
    <row r="535" ht="13.5" hidden="1" customHeight="1"/>
    <row r="536" ht="13.5" hidden="1" customHeight="1"/>
    <row r="537" ht="13.5" hidden="1" customHeight="1"/>
    <row r="538" ht="13.5" hidden="1" customHeight="1"/>
    <row r="539" ht="13.5" hidden="1" customHeight="1"/>
    <row r="540" ht="13.5" hidden="1" customHeight="1"/>
    <row r="541" ht="13.5" hidden="1" customHeight="1"/>
    <row r="542" ht="13.5" hidden="1" customHeight="1"/>
    <row r="543" ht="13.5" hidden="1" customHeight="1"/>
    <row r="544" ht="13.5" hidden="1" customHeight="1"/>
    <row r="545" ht="13.5" hidden="1" customHeight="1"/>
    <row r="546" ht="13.5" hidden="1" customHeight="1"/>
    <row r="547" ht="13.5" hidden="1" customHeight="1"/>
    <row r="548" ht="13.5" hidden="1" customHeight="1"/>
    <row r="549" ht="13.5" hidden="1" customHeight="1"/>
    <row r="550" ht="13.5" hidden="1" customHeight="1"/>
    <row r="551" ht="13.5" hidden="1" customHeight="1"/>
    <row r="552" ht="13.5" hidden="1" customHeight="1"/>
    <row r="553" ht="13.5" hidden="1" customHeight="1"/>
    <row r="554" ht="13.5" hidden="1" customHeight="1"/>
    <row r="555" ht="13.5" hidden="1" customHeight="1"/>
    <row r="556" ht="13.5" hidden="1" customHeight="1"/>
    <row r="557" ht="13.5" hidden="1" customHeight="1"/>
    <row r="558" ht="13.5" hidden="1" customHeight="1"/>
    <row r="559" ht="13.5" hidden="1" customHeight="1"/>
    <row r="560" ht="13.5" hidden="1" customHeight="1"/>
    <row r="561" ht="13.5"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sheetData>
  <sheetProtection algorithmName="SHA-512" hashValue="Si9VFZ8g3dQVD+Z/1qFqb/yn7fiwbb5xJEy34aCTRQ0T3ImDH/A2fvewFFvNB3ubwE9nQN+gaMlVom+fECpbTQ==" saltValue="S70E18m1c6QAYCHyiL1ntA==" spinCount="100000" sheet="1" objects="1" scenarios="1"/>
  <mergeCells count="19">
    <mergeCell ref="F25:M25"/>
    <mergeCell ref="L7:M7"/>
    <mergeCell ref="L8:M8"/>
    <mergeCell ref="L9:M9"/>
    <mergeCell ref="L10:M10"/>
    <mergeCell ref="L12:M12"/>
    <mergeCell ref="L13:M13"/>
    <mergeCell ref="L14:M14"/>
    <mergeCell ref="L15:M15"/>
    <mergeCell ref="L20:M20"/>
    <mergeCell ref="L22:M22"/>
    <mergeCell ref="F24:M24"/>
    <mergeCell ref="F42:M42"/>
    <mergeCell ref="F28:M28"/>
    <mergeCell ref="F29:M29"/>
    <mergeCell ref="L35:M35"/>
    <mergeCell ref="L36:M36"/>
    <mergeCell ref="L38:M38"/>
    <mergeCell ref="F41:M41"/>
  </mergeCells>
  <phoneticPr fontId="22"/>
  <dataValidations count="3">
    <dataValidation type="list" allowBlank="1" showInputMessage="1" showErrorMessage="1" sqref="VSC983078 JE7:JE10 TA7:TA10 ACW7:ACW10 AMS7:AMS10 AWO7:AWO10 BGK7:BGK10 BQG7:BQG10 CAC7:CAC10 CJY7:CJY10 CTU7:CTU10 DDQ7:DDQ10 DNM7:DNM10 DXI7:DXI10 EHE7:EHE10 ERA7:ERA10 FAW7:FAW10 FKS7:FKS10 FUO7:FUO10 GEK7:GEK10 GOG7:GOG10 GYC7:GYC10 HHY7:HHY10 HRU7:HRU10 IBQ7:IBQ10 ILM7:ILM10 IVI7:IVI10 JFE7:JFE10 JPA7:JPA10 JYW7:JYW10 KIS7:KIS10 KSO7:KSO10 LCK7:LCK10 LMG7:LMG10 LWC7:LWC10 MFY7:MFY10 MPU7:MPU10 MZQ7:MZQ10 NJM7:NJM10 NTI7:NTI10 ODE7:ODE10 ONA7:ONA10 OWW7:OWW10 PGS7:PGS10 PQO7:PQO10 QAK7:QAK10 QKG7:QKG10 QUC7:QUC10 RDY7:RDY10 RNU7:RNU10 RXQ7:RXQ10 SHM7:SHM10 SRI7:SRI10 TBE7:TBE10 TLA7:TLA10 TUW7:TUW10 UES7:UES10 UOO7:UOO10 UYK7:UYK10 VIG7:VIG10 VSC7:VSC10 WBY7:WBY10 WLU7:WLU10 WVQ7:WVQ10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BY983078 JE12:JE15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2:WVQ15 I65548:I65551 JE65548:JE65551 TA65548:TA65551 ACW65548:ACW65551 AMS65548:AMS65551 AWO65548:AWO65551 BGK65548:BGK65551 BQG65548:BQG65551 CAC65548:CAC65551 CJY65548:CJY65551 CTU65548:CTU65551 DDQ65548:DDQ65551 DNM65548:DNM65551 DXI65548:DXI65551 EHE65548:EHE65551 ERA65548:ERA65551 FAW65548:FAW65551 FKS65548:FKS65551 FUO65548:FUO65551 GEK65548:GEK65551 GOG65548:GOG65551 GYC65548:GYC65551 HHY65548:HHY65551 HRU65548:HRU65551 IBQ65548:IBQ65551 ILM65548:ILM65551 IVI65548:IVI65551 JFE65548:JFE65551 JPA65548:JPA65551 JYW65548:JYW65551 KIS65548:KIS65551 KSO65548:KSO65551 LCK65548:LCK65551 LMG65548:LMG65551 LWC65548:LWC65551 MFY65548:MFY65551 MPU65548:MPU65551 MZQ65548:MZQ65551 NJM65548:NJM65551 NTI65548:NTI65551 ODE65548:ODE65551 ONA65548:ONA65551 OWW65548:OWW65551 PGS65548:PGS65551 PQO65548:PQO65551 QAK65548:QAK65551 QKG65548:QKG65551 QUC65548:QUC65551 RDY65548:RDY65551 RNU65548:RNU65551 RXQ65548:RXQ65551 SHM65548:SHM65551 SRI65548:SRI65551 TBE65548:TBE65551 TLA65548:TLA65551 TUW65548:TUW65551 UES65548:UES65551 UOO65548:UOO65551 UYK65548:UYK65551 VIG65548:VIG65551 VSC65548:VSC65551 WBY65548:WBY65551 WLU65548:WLU65551 WVQ65548:WVQ65551 I131084:I131087 JE131084:JE131087 TA131084:TA131087 ACW131084:ACW131087 AMS131084:AMS131087 AWO131084:AWO131087 BGK131084:BGK131087 BQG131084:BQG131087 CAC131084:CAC131087 CJY131084:CJY131087 CTU131084:CTU131087 DDQ131084:DDQ131087 DNM131084:DNM131087 DXI131084:DXI131087 EHE131084:EHE131087 ERA131084:ERA131087 FAW131084:FAW131087 FKS131084:FKS131087 FUO131084:FUO131087 GEK131084:GEK131087 GOG131084:GOG131087 GYC131084:GYC131087 HHY131084:HHY131087 HRU131084:HRU131087 IBQ131084:IBQ131087 ILM131084:ILM131087 IVI131084:IVI131087 JFE131084:JFE131087 JPA131084:JPA131087 JYW131084:JYW131087 KIS131084:KIS131087 KSO131084:KSO131087 LCK131084:LCK131087 LMG131084:LMG131087 LWC131084:LWC131087 MFY131084:MFY131087 MPU131084:MPU131087 MZQ131084:MZQ131087 NJM131084:NJM131087 NTI131084:NTI131087 ODE131084:ODE131087 ONA131084:ONA131087 OWW131084:OWW131087 PGS131084:PGS131087 PQO131084:PQO131087 QAK131084:QAK131087 QKG131084:QKG131087 QUC131084:QUC131087 RDY131084:RDY131087 RNU131084:RNU131087 RXQ131084:RXQ131087 SHM131084:SHM131087 SRI131084:SRI131087 TBE131084:TBE131087 TLA131084:TLA131087 TUW131084:TUW131087 UES131084:UES131087 UOO131084:UOO131087 UYK131084:UYK131087 VIG131084:VIG131087 VSC131084:VSC131087 WBY131084:WBY131087 WLU131084:WLU131087 WVQ131084:WVQ131087 I196620:I196623 JE196620:JE196623 TA196620:TA196623 ACW196620:ACW196623 AMS196620:AMS196623 AWO196620:AWO196623 BGK196620:BGK196623 BQG196620:BQG196623 CAC196620:CAC196623 CJY196620:CJY196623 CTU196620:CTU196623 DDQ196620:DDQ196623 DNM196620:DNM196623 DXI196620:DXI196623 EHE196620:EHE196623 ERA196620:ERA196623 FAW196620:FAW196623 FKS196620:FKS196623 FUO196620:FUO196623 GEK196620:GEK196623 GOG196620:GOG196623 GYC196620:GYC196623 HHY196620:HHY196623 HRU196620:HRU196623 IBQ196620:IBQ196623 ILM196620:ILM196623 IVI196620:IVI196623 JFE196620:JFE196623 JPA196620:JPA196623 JYW196620:JYW196623 KIS196620:KIS196623 KSO196620:KSO196623 LCK196620:LCK196623 LMG196620:LMG196623 LWC196620:LWC196623 MFY196620:MFY196623 MPU196620:MPU196623 MZQ196620:MZQ196623 NJM196620:NJM196623 NTI196620:NTI196623 ODE196620:ODE196623 ONA196620:ONA196623 OWW196620:OWW196623 PGS196620:PGS196623 PQO196620:PQO196623 QAK196620:QAK196623 QKG196620:QKG196623 QUC196620:QUC196623 RDY196620:RDY196623 RNU196620:RNU196623 RXQ196620:RXQ196623 SHM196620:SHM196623 SRI196620:SRI196623 TBE196620:TBE196623 TLA196620:TLA196623 TUW196620:TUW196623 UES196620:UES196623 UOO196620:UOO196623 UYK196620:UYK196623 VIG196620:VIG196623 VSC196620:VSC196623 WBY196620:WBY196623 WLU196620:WLU196623 WVQ196620:WVQ196623 I262156:I262159 JE262156:JE262159 TA262156:TA262159 ACW262156:ACW262159 AMS262156:AMS262159 AWO262156:AWO262159 BGK262156:BGK262159 BQG262156:BQG262159 CAC262156:CAC262159 CJY262156:CJY262159 CTU262156:CTU262159 DDQ262156:DDQ262159 DNM262156:DNM262159 DXI262156:DXI262159 EHE262156:EHE262159 ERA262156:ERA262159 FAW262156:FAW262159 FKS262156:FKS262159 FUO262156:FUO262159 GEK262156:GEK262159 GOG262156:GOG262159 GYC262156:GYC262159 HHY262156:HHY262159 HRU262156:HRU262159 IBQ262156:IBQ262159 ILM262156:ILM262159 IVI262156:IVI262159 JFE262156:JFE262159 JPA262156:JPA262159 JYW262156:JYW262159 KIS262156:KIS262159 KSO262156:KSO262159 LCK262156:LCK262159 LMG262156:LMG262159 LWC262156:LWC262159 MFY262156:MFY262159 MPU262156:MPU262159 MZQ262156:MZQ262159 NJM262156:NJM262159 NTI262156:NTI262159 ODE262156:ODE262159 ONA262156:ONA262159 OWW262156:OWW262159 PGS262156:PGS262159 PQO262156:PQO262159 QAK262156:QAK262159 QKG262156:QKG262159 QUC262156:QUC262159 RDY262156:RDY262159 RNU262156:RNU262159 RXQ262156:RXQ262159 SHM262156:SHM262159 SRI262156:SRI262159 TBE262156:TBE262159 TLA262156:TLA262159 TUW262156:TUW262159 UES262156:UES262159 UOO262156:UOO262159 UYK262156:UYK262159 VIG262156:VIG262159 VSC262156:VSC262159 WBY262156:WBY262159 WLU262156:WLU262159 WVQ262156:WVQ262159 I327692:I327695 JE327692:JE327695 TA327692:TA327695 ACW327692:ACW327695 AMS327692:AMS327695 AWO327692:AWO327695 BGK327692:BGK327695 BQG327692:BQG327695 CAC327692:CAC327695 CJY327692:CJY327695 CTU327692:CTU327695 DDQ327692:DDQ327695 DNM327692:DNM327695 DXI327692:DXI327695 EHE327692:EHE327695 ERA327692:ERA327695 FAW327692:FAW327695 FKS327692:FKS327695 FUO327692:FUO327695 GEK327692:GEK327695 GOG327692:GOG327695 GYC327692:GYC327695 HHY327692:HHY327695 HRU327692:HRU327695 IBQ327692:IBQ327695 ILM327692:ILM327695 IVI327692:IVI327695 JFE327692:JFE327695 JPA327692:JPA327695 JYW327692:JYW327695 KIS327692:KIS327695 KSO327692:KSO327695 LCK327692:LCK327695 LMG327692:LMG327695 LWC327692:LWC327695 MFY327692:MFY327695 MPU327692:MPU327695 MZQ327692:MZQ327695 NJM327692:NJM327695 NTI327692:NTI327695 ODE327692:ODE327695 ONA327692:ONA327695 OWW327692:OWW327695 PGS327692:PGS327695 PQO327692:PQO327695 QAK327692:QAK327695 QKG327692:QKG327695 QUC327692:QUC327695 RDY327692:RDY327695 RNU327692:RNU327695 RXQ327692:RXQ327695 SHM327692:SHM327695 SRI327692:SRI327695 TBE327692:TBE327695 TLA327692:TLA327695 TUW327692:TUW327695 UES327692:UES327695 UOO327692:UOO327695 UYK327692:UYK327695 VIG327692:VIG327695 VSC327692:VSC327695 WBY327692:WBY327695 WLU327692:WLU327695 WVQ327692:WVQ327695 I393228:I393231 JE393228:JE393231 TA393228:TA393231 ACW393228:ACW393231 AMS393228:AMS393231 AWO393228:AWO393231 BGK393228:BGK393231 BQG393228:BQG393231 CAC393228:CAC393231 CJY393228:CJY393231 CTU393228:CTU393231 DDQ393228:DDQ393231 DNM393228:DNM393231 DXI393228:DXI393231 EHE393228:EHE393231 ERA393228:ERA393231 FAW393228:FAW393231 FKS393228:FKS393231 FUO393228:FUO393231 GEK393228:GEK393231 GOG393228:GOG393231 GYC393228:GYC393231 HHY393228:HHY393231 HRU393228:HRU393231 IBQ393228:IBQ393231 ILM393228:ILM393231 IVI393228:IVI393231 JFE393228:JFE393231 JPA393228:JPA393231 JYW393228:JYW393231 KIS393228:KIS393231 KSO393228:KSO393231 LCK393228:LCK393231 LMG393228:LMG393231 LWC393228:LWC393231 MFY393228:MFY393231 MPU393228:MPU393231 MZQ393228:MZQ393231 NJM393228:NJM393231 NTI393228:NTI393231 ODE393228:ODE393231 ONA393228:ONA393231 OWW393228:OWW393231 PGS393228:PGS393231 PQO393228:PQO393231 QAK393228:QAK393231 QKG393228:QKG393231 QUC393228:QUC393231 RDY393228:RDY393231 RNU393228:RNU393231 RXQ393228:RXQ393231 SHM393228:SHM393231 SRI393228:SRI393231 TBE393228:TBE393231 TLA393228:TLA393231 TUW393228:TUW393231 UES393228:UES393231 UOO393228:UOO393231 UYK393228:UYK393231 VIG393228:VIG393231 VSC393228:VSC393231 WBY393228:WBY393231 WLU393228:WLU393231 WVQ393228:WVQ393231 I458764:I458767 JE458764:JE458767 TA458764:TA458767 ACW458764:ACW458767 AMS458764:AMS458767 AWO458764:AWO458767 BGK458764:BGK458767 BQG458764:BQG458767 CAC458764:CAC458767 CJY458764:CJY458767 CTU458764:CTU458767 DDQ458764:DDQ458767 DNM458764:DNM458767 DXI458764:DXI458767 EHE458764:EHE458767 ERA458764:ERA458767 FAW458764:FAW458767 FKS458764:FKS458767 FUO458764:FUO458767 GEK458764:GEK458767 GOG458764:GOG458767 GYC458764:GYC458767 HHY458764:HHY458767 HRU458764:HRU458767 IBQ458764:IBQ458767 ILM458764:ILM458767 IVI458764:IVI458767 JFE458764:JFE458767 JPA458764:JPA458767 JYW458764:JYW458767 KIS458764:KIS458767 KSO458764:KSO458767 LCK458764:LCK458767 LMG458764:LMG458767 LWC458764:LWC458767 MFY458764:MFY458767 MPU458764:MPU458767 MZQ458764:MZQ458767 NJM458764:NJM458767 NTI458764:NTI458767 ODE458764:ODE458767 ONA458764:ONA458767 OWW458764:OWW458767 PGS458764:PGS458767 PQO458764:PQO458767 QAK458764:QAK458767 QKG458764:QKG458767 QUC458764:QUC458767 RDY458764:RDY458767 RNU458764:RNU458767 RXQ458764:RXQ458767 SHM458764:SHM458767 SRI458764:SRI458767 TBE458764:TBE458767 TLA458764:TLA458767 TUW458764:TUW458767 UES458764:UES458767 UOO458764:UOO458767 UYK458764:UYK458767 VIG458764:VIG458767 VSC458764:VSC458767 WBY458764:WBY458767 WLU458764:WLU458767 WVQ458764:WVQ458767 I524300:I524303 JE524300:JE524303 TA524300:TA524303 ACW524300:ACW524303 AMS524300:AMS524303 AWO524300:AWO524303 BGK524300:BGK524303 BQG524300:BQG524303 CAC524300:CAC524303 CJY524300:CJY524303 CTU524300:CTU524303 DDQ524300:DDQ524303 DNM524300:DNM524303 DXI524300:DXI524303 EHE524300:EHE524303 ERA524300:ERA524303 FAW524300:FAW524303 FKS524300:FKS524303 FUO524300:FUO524303 GEK524300:GEK524303 GOG524300:GOG524303 GYC524300:GYC524303 HHY524300:HHY524303 HRU524300:HRU524303 IBQ524300:IBQ524303 ILM524300:ILM524303 IVI524300:IVI524303 JFE524300:JFE524303 JPA524300:JPA524303 JYW524300:JYW524303 KIS524300:KIS524303 KSO524300:KSO524303 LCK524300:LCK524303 LMG524300:LMG524303 LWC524300:LWC524303 MFY524300:MFY524303 MPU524300:MPU524303 MZQ524300:MZQ524303 NJM524300:NJM524303 NTI524300:NTI524303 ODE524300:ODE524303 ONA524300:ONA524303 OWW524300:OWW524303 PGS524300:PGS524303 PQO524300:PQO524303 QAK524300:QAK524303 QKG524300:QKG524303 QUC524300:QUC524303 RDY524300:RDY524303 RNU524300:RNU524303 RXQ524300:RXQ524303 SHM524300:SHM524303 SRI524300:SRI524303 TBE524300:TBE524303 TLA524300:TLA524303 TUW524300:TUW524303 UES524300:UES524303 UOO524300:UOO524303 UYK524300:UYK524303 VIG524300:VIG524303 VSC524300:VSC524303 WBY524300:WBY524303 WLU524300:WLU524303 WVQ524300:WVQ524303 I589836:I589839 JE589836:JE589839 TA589836:TA589839 ACW589836:ACW589839 AMS589836:AMS589839 AWO589836:AWO589839 BGK589836:BGK589839 BQG589836:BQG589839 CAC589836:CAC589839 CJY589836:CJY589839 CTU589836:CTU589839 DDQ589836:DDQ589839 DNM589836:DNM589839 DXI589836:DXI589839 EHE589836:EHE589839 ERA589836:ERA589839 FAW589836:FAW589839 FKS589836:FKS589839 FUO589836:FUO589839 GEK589836:GEK589839 GOG589836:GOG589839 GYC589836:GYC589839 HHY589836:HHY589839 HRU589836:HRU589839 IBQ589836:IBQ589839 ILM589836:ILM589839 IVI589836:IVI589839 JFE589836:JFE589839 JPA589836:JPA589839 JYW589836:JYW589839 KIS589836:KIS589839 KSO589836:KSO589839 LCK589836:LCK589839 LMG589836:LMG589839 LWC589836:LWC589839 MFY589836:MFY589839 MPU589836:MPU589839 MZQ589836:MZQ589839 NJM589836:NJM589839 NTI589836:NTI589839 ODE589836:ODE589839 ONA589836:ONA589839 OWW589836:OWW589839 PGS589836:PGS589839 PQO589836:PQO589839 QAK589836:QAK589839 QKG589836:QKG589839 QUC589836:QUC589839 RDY589836:RDY589839 RNU589836:RNU589839 RXQ589836:RXQ589839 SHM589836:SHM589839 SRI589836:SRI589839 TBE589836:TBE589839 TLA589836:TLA589839 TUW589836:TUW589839 UES589836:UES589839 UOO589836:UOO589839 UYK589836:UYK589839 VIG589836:VIG589839 VSC589836:VSC589839 WBY589836:WBY589839 WLU589836:WLU589839 WVQ589836:WVQ589839 I655372:I655375 JE655372:JE655375 TA655372:TA655375 ACW655372:ACW655375 AMS655372:AMS655375 AWO655372:AWO655375 BGK655372:BGK655375 BQG655372:BQG655375 CAC655372:CAC655375 CJY655372:CJY655375 CTU655372:CTU655375 DDQ655372:DDQ655375 DNM655372:DNM655375 DXI655372:DXI655375 EHE655372:EHE655375 ERA655372:ERA655375 FAW655372:FAW655375 FKS655372:FKS655375 FUO655372:FUO655375 GEK655372:GEK655375 GOG655372:GOG655375 GYC655372:GYC655375 HHY655372:HHY655375 HRU655372:HRU655375 IBQ655372:IBQ655375 ILM655372:ILM655375 IVI655372:IVI655375 JFE655372:JFE655375 JPA655372:JPA655375 JYW655372:JYW655375 KIS655372:KIS655375 KSO655372:KSO655375 LCK655372:LCK655375 LMG655372:LMG655375 LWC655372:LWC655375 MFY655372:MFY655375 MPU655372:MPU655375 MZQ655372:MZQ655375 NJM655372:NJM655375 NTI655372:NTI655375 ODE655372:ODE655375 ONA655372:ONA655375 OWW655372:OWW655375 PGS655372:PGS655375 PQO655372:PQO655375 QAK655372:QAK655375 QKG655372:QKG655375 QUC655372:QUC655375 RDY655372:RDY655375 RNU655372:RNU655375 RXQ655372:RXQ655375 SHM655372:SHM655375 SRI655372:SRI655375 TBE655372:TBE655375 TLA655372:TLA655375 TUW655372:TUW655375 UES655372:UES655375 UOO655372:UOO655375 UYK655372:UYK655375 VIG655372:VIG655375 VSC655372:VSC655375 WBY655372:WBY655375 WLU655372:WLU655375 WVQ655372:WVQ655375 I720908:I720911 JE720908:JE720911 TA720908:TA720911 ACW720908:ACW720911 AMS720908:AMS720911 AWO720908:AWO720911 BGK720908:BGK720911 BQG720908:BQG720911 CAC720908:CAC720911 CJY720908:CJY720911 CTU720908:CTU720911 DDQ720908:DDQ720911 DNM720908:DNM720911 DXI720908:DXI720911 EHE720908:EHE720911 ERA720908:ERA720911 FAW720908:FAW720911 FKS720908:FKS720911 FUO720908:FUO720911 GEK720908:GEK720911 GOG720908:GOG720911 GYC720908:GYC720911 HHY720908:HHY720911 HRU720908:HRU720911 IBQ720908:IBQ720911 ILM720908:ILM720911 IVI720908:IVI720911 JFE720908:JFE720911 JPA720908:JPA720911 JYW720908:JYW720911 KIS720908:KIS720911 KSO720908:KSO720911 LCK720908:LCK720911 LMG720908:LMG720911 LWC720908:LWC720911 MFY720908:MFY720911 MPU720908:MPU720911 MZQ720908:MZQ720911 NJM720908:NJM720911 NTI720908:NTI720911 ODE720908:ODE720911 ONA720908:ONA720911 OWW720908:OWW720911 PGS720908:PGS720911 PQO720908:PQO720911 QAK720908:QAK720911 QKG720908:QKG720911 QUC720908:QUC720911 RDY720908:RDY720911 RNU720908:RNU720911 RXQ720908:RXQ720911 SHM720908:SHM720911 SRI720908:SRI720911 TBE720908:TBE720911 TLA720908:TLA720911 TUW720908:TUW720911 UES720908:UES720911 UOO720908:UOO720911 UYK720908:UYK720911 VIG720908:VIG720911 VSC720908:VSC720911 WBY720908:WBY720911 WLU720908:WLU720911 WVQ720908:WVQ720911 I786444:I786447 JE786444:JE786447 TA786444:TA786447 ACW786444:ACW786447 AMS786444:AMS786447 AWO786444:AWO786447 BGK786444:BGK786447 BQG786444:BQG786447 CAC786444:CAC786447 CJY786444:CJY786447 CTU786444:CTU786447 DDQ786444:DDQ786447 DNM786444:DNM786447 DXI786444:DXI786447 EHE786444:EHE786447 ERA786444:ERA786447 FAW786444:FAW786447 FKS786444:FKS786447 FUO786444:FUO786447 GEK786444:GEK786447 GOG786444:GOG786447 GYC786444:GYC786447 HHY786444:HHY786447 HRU786444:HRU786447 IBQ786444:IBQ786447 ILM786444:ILM786447 IVI786444:IVI786447 JFE786444:JFE786447 JPA786444:JPA786447 JYW786444:JYW786447 KIS786444:KIS786447 KSO786444:KSO786447 LCK786444:LCK786447 LMG786444:LMG786447 LWC786444:LWC786447 MFY786444:MFY786447 MPU786444:MPU786447 MZQ786444:MZQ786447 NJM786444:NJM786447 NTI786444:NTI786447 ODE786444:ODE786447 ONA786444:ONA786447 OWW786444:OWW786447 PGS786444:PGS786447 PQO786444:PQO786447 QAK786444:QAK786447 QKG786444:QKG786447 QUC786444:QUC786447 RDY786444:RDY786447 RNU786444:RNU786447 RXQ786444:RXQ786447 SHM786444:SHM786447 SRI786444:SRI786447 TBE786444:TBE786447 TLA786444:TLA786447 TUW786444:TUW786447 UES786444:UES786447 UOO786444:UOO786447 UYK786444:UYK786447 VIG786444:VIG786447 VSC786444:VSC786447 WBY786444:WBY786447 WLU786444:WLU786447 WVQ786444:WVQ786447 I851980:I851983 JE851980:JE851983 TA851980:TA851983 ACW851980:ACW851983 AMS851980:AMS851983 AWO851980:AWO851983 BGK851980:BGK851983 BQG851980:BQG851983 CAC851980:CAC851983 CJY851980:CJY851983 CTU851980:CTU851983 DDQ851980:DDQ851983 DNM851980:DNM851983 DXI851980:DXI851983 EHE851980:EHE851983 ERA851980:ERA851983 FAW851980:FAW851983 FKS851980:FKS851983 FUO851980:FUO851983 GEK851980:GEK851983 GOG851980:GOG851983 GYC851980:GYC851983 HHY851980:HHY851983 HRU851980:HRU851983 IBQ851980:IBQ851983 ILM851980:ILM851983 IVI851980:IVI851983 JFE851980:JFE851983 JPA851980:JPA851983 JYW851980:JYW851983 KIS851980:KIS851983 KSO851980:KSO851983 LCK851980:LCK851983 LMG851980:LMG851983 LWC851980:LWC851983 MFY851980:MFY851983 MPU851980:MPU851983 MZQ851980:MZQ851983 NJM851980:NJM851983 NTI851980:NTI851983 ODE851980:ODE851983 ONA851980:ONA851983 OWW851980:OWW851983 PGS851980:PGS851983 PQO851980:PQO851983 QAK851980:QAK851983 QKG851980:QKG851983 QUC851980:QUC851983 RDY851980:RDY851983 RNU851980:RNU851983 RXQ851980:RXQ851983 SHM851980:SHM851983 SRI851980:SRI851983 TBE851980:TBE851983 TLA851980:TLA851983 TUW851980:TUW851983 UES851980:UES851983 UOO851980:UOO851983 UYK851980:UYK851983 VIG851980:VIG851983 VSC851980:VSC851983 WBY851980:WBY851983 WLU851980:WLU851983 WVQ851980:WVQ851983 I917516:I917519 JE917516:JE917519 TA917516:TA917519 ACW917516:ACW917519 AMS917516:AMS917519 AWO917516:AWO917519 BGK917516:BGK917519 BQG917516:BQG917519 CAC917516:CAC917519 CJY917516:CJY917519 CTU917516:CTU917519 DDQ917516:DDQ917519 DNM917516:DNM917519 DXI917516:DXI917519 EHE917516:EHE917519 ERA917516:ERA917519 FAW917516:FAW917519 FKS917516:FKS917519 FUO917516:FUO917519 GEK917516:GEK917519 GOG917516:GOG917519 GYC917516:GYC917519 HHY917516:HHY917519 HRU917516:HRU917519 IBQ917516:IBQ917519 ILM917516:ILM917519 IVI917516:IVI917519 JFE917516:JFE917519 JPA917516:JPA917519 JYW917516:JYW917519 KIS917516:KIS917519 KSO917516:KSO917519 LCK917516:LCK917519 LMG917516:LMG917519 LWC917516:LWC917519 MFY917516:MFY917519 MPU917516:MPU917519 MZQ917516:MZQ917519 NJM917516:NJM917519 NTI917516:NTI917519 ODE917516:ODE917519 ONA917516:ONA917519 OWW917516:OWW917519 PGS917516:PGS917519 PQO917516:PQO917519 QAK917516:QAK917519 QKG917516:QKG917519 QUC917516:QUC917519 RDY917516:RDY917519 RNU917516:RNU917519 RXQ917516:RXQ917519 SHM917516:SHM917519 SRI917516:SRI917519 TBE917516:TBE917519 TLA917516:TLA917519 TUW917516:TUW917519 UES917516:UES917519 UOO917516:UOO917519 UYK917516:UYK917519 VIG917516:VIG917519 VSC917516:VSC917519 WBY917516:WBY917519 WLU917516:WLU917519 WVQ917516:WVQ917519 I983052:I983055 JE983052:JE983055 TA983052:TA983055 ACW983052:ACW983055 AMS983052:AMS983055 AWO983052:AWO983055 BGK983052:BGK983055 BQG983052:BQG983055 CAC983052:CAC983055 CJY983052:CJY983055 CTU983052:CTU983055 DDQ983052:DDQ983055 DNM983052:DNM983055 DXI983052:DXI983055 EHE983052:EHE983055 ERA983052:ERA983055 FAW983052:FAW983055 FKS983052:FKS983055 FUO983052:FUO983055 GEK983052:GEK983055 GOG983052:GOG983055 GYC983052:GYC983055 HHY983052:HHY983055 HRU983052:HRU983055 IBQ983052:IBQ983055 ILM983052:ILM983055 IVI983052:IVI983055 JFE983052:JFE983055 JPA983052:JPA983055 JYW983052:JYW983055 KIS983052:KIS983055 KSO983052:KSO983055 LCK983052:LCK983055 LMG983052:LMG983055 LWC983052:LWC983055 MFY983052:MFY983055 MPU983052:MPU983055 MZQ983052:MZQ983055 NJM983052:NJM983055 NTI983052:NTI983055 ODE983052:ODE983055 ONA983052:ONA983055 OWW983052:OWW983055 PGS983052:PGS983055 PQO983052:PQO983055 QAK983052:QAK983055 QKG983052:QKG983055 QUC983052:QUC983055 RDY983052:RDY983055 RNU983052:RNU983055 RXQ983052:RXQ983055 SHM983052:SHM983055 SRI983052:SRI983055 TBE983052:TBE983055 TLA983052:TLA983055 TUW983052:TUW983055 UES983052:UES983055 UOO983052:UOO983055 UYK983052:UYK983055 VIG983052:VIG983055 VSC983052:VSC983055 WBY983052:WBY983055 WLU983052:WLU983055 WVQ983052:WVQ983055 WLU983078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WVQ983078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UYK983078 JE35:JE36 TA35:TA36 ACW35:ACW36 AMS35:AMS36 AWO35:AWO36 BGK35:BGK36 BQG35:BQG36 CAC35:CAC36 CJY35:CJY36 CTU35:CTU36 DDQ35:DDQ36 DNM35:DNM36 DXI35:DXI36 EHE35:EHE36 ERA35:ERA36 FAW35:FAW36 FKS35:FKS36 FUO35:FUO36 GEK35:GEK36 GOG35:GOG36 GYC35:GYC36 HHY35:HHY36 HRU35:HRU36 IBQ35:IBQ36 ILM35:ILM36 IVI35:IVI36 JFE35:JFE36 JPA35:JPA36 JYW35:JYW36 KIS35:KIS36 KSO35:KSO36 LCK35:LCK36 LMG35:LMG36 LWC35:LWC36 MFY35:MFY36 MPU35:MPU36 MZQ35:MZQ36 NJM35:NJM36 NTI35:NTI36 ODE35:ODE36 ONA35:ONA36 OWW35:OWW36 PGS35:PGS36 PQO35:PQO36 QAK35:QAK36 QKG35:QKG36 QUC35:QUC36 RDY35:RDY36 RNU35:RNU36 RXQ35:RXQ36 SHM35:SHM36 SRI35:SRI36 TBE35:TBE36 TLA35:TLA36 TUW35:TUW36 UES35:UES36 UOO35:UOO36 UYK35:UYK36 VIG35:VIG36 VSC35:VSC36 WBY35:WBY36 WLU35:WLU36 WVQ35:WVQ36 I65571:I65572 JE65571:JE65572 TA65571:TA65572 ACW65571:ACW65572 AMS65571:AMS65572 AWO65571:AWO65572 BGK65571:BGK65572 BQG65571:BQG65572 CAC65571:CAC65572 CJY65571:CJY65572 CTU65571:CTU65572 DDQ65571:DDQ65572 DNM65571:DNM65572 DXI65571:DXI65572 EHE65571:EHE65572 ERA65571:ERA65572 FAW65571:FAW65572 FKS65571:FKS65572 FUO65571:FUO65572 GEK65571:GEK65572 GOG65571:GOG65572 GYC65571:GYC65572 HHY65571:HHY65572 HRU65571:HRU65572 IBQ65571:IBQ65572 ILM65571:ILM65572 IVI65571:IVI65572 JFE65571:JFE65572 JPA65571:JPA65572 JYW65571:JYW65572 KIS65571:KIS65572 KSO65571:KSO65572 LCK65571:LCK65572 LMG65571:LMG65572 LWC65571:LWC65572 MFY65571:MFY65572 MPU65571:MPU65572 MZQ65571:MZQ65572 NJM65571:NJM65572 NTI65571:NTI65572 ODE65571:ODE65572 ONA65571:ONA65572 OWW65571:OWW65572 PGS65571:PGS65572 PQO65571:PQO65572 QAK65571:QAK65572 QKG65571:QKG65572 QUC65571:QUC65572 RDY65571:RDY65572 RNU65571:RNU65572 RXQ65571:RXQ65572 SHM65571:SHM65572 SRI65571:SRI65572 TBE65571:TBE65572 TLA65571:TLA65572 TUW65571:TUW65572 UES65571:UES65572 UOO65571:UOO65572 UYK65571:UYK65572 VIG65571:VIG65572 VSC65571:VSC65572 WBY65571:WBY65572 WLU65571:WLU65572 WVQ65571:WVQ65572 I131107:I131108 JE131107:JE131108 TA131107:TA131108 ACW131107:ACW131108 AMS131107:AMS131108 AWO131107:AWO131108 BGK131107:BGK131108 BQG131107:BQG131108 CAC131107:CAC131108 CJY131107:CJY131108 CTU131107:CTU131108 DDQ131107:DDQ131108 DNM131107:DNM131108 DXI131107:DXI131108 EHE131107:EHE131108 ERA131107:ERA131108 FAW131107:FAW131108 FKS131107:FKS131108 FUO131107:FUO131108 GEK131107:GEK131108 GOG131107:GOG131108 GYC131107:GYC131108 HHY131107:HHY131108 HRU131107:HRU131108 IBQ131107:IBQ131108 ILM131107:ILM131108 IVI131107:IVI131108 JFE131107:JFE131108 JPA131107:JPA131108 JYW131107:JYW131108 KIS131107:KIS131108 KSO131107:KSO131108 LCK131107:LCK131108 LMG131107:LMG131108 LWC131107:LWC131108 MFY131107:MFY131108 MPU131107:MPU131108 MZQ131107:MZQ131108 NJM131107:NJM131108 NTI131107:NTI131108 ODE131107:ODE131108 ONA131107:ONA131108 OWW131107:OWW131108 PGS131107:PGS131108 PQO131107:PQO131108 QAK131107:QAK131108 QKG131107:QKG131108 QUC131107:QUC131108 RDY131107:RDY131108 RNU131107:RNU131108 RXQ131107:RXQ131108 SHM131107:SHM131108 SRI131107:SRI131108 TBE131107:TBE131108 TLA131107:TLA131108 TUW131107:TUW131108 UES131107:UES131108 UOO131107:UOO131108 UYK131107:UYK131108 VIG131107:VIG131108 VSC131107:VSC131108 WBY131107:WBY131108 WLU131107:WLU131108 WVQ131107:WVQ131108 I196643:I196644 JE196643:JE196644 TA196643:TA196644 ACW196643:ACW196644 AMS196643:AMS196644 AWO196643:AWO196644 BGK196643:BGK196644 BQG196643:BQG196644 CAC196643:CAC196644 CJY196643:CJY196644 CTU196643:CTU196644 DDQ196643:DDQ196644 DNM196643:DNM196644 DXI196643:DXI196644 EHE196643:EHE196644 ERA196643:ERA196644 FAW196643:FAW196644 FKS196643:FKS196644 FUO196643:FUO196644 GEK196643:GEK196644 GOG196643:GOG196644 GYC196643:GYC196644 HHY196643:HHY196644 HRU196643:HRU196644 IBQ196643:IBQ196644 ILM196643:ILM196644 IVI196643:IVI196644 JFE196643:JFE196644 JPA196643:JPA196644 JYW196643:JYW196644 KIS196643:KIS196644 KSO196643:KSO196644 LCK196643:LCK196644 LMG196643:LMG196644 LWC196643:LWC196644 MFY196643:MFY196644 MPU196643:MPU196644 MZQ196643:MZQ196644 NJM196643:NJM196644 NTI196643:NTI196644 ODE196643:ODE196644 ONA196643:ONA196644 OWW196643:OWW196644 PGS196643:PGS196644 PQO196643:PQO196644 QAK196643:QAK196644 QKG196643:QKG196644 QUC196643:QUC196644 RDY196643:RDY196644 RNU196643:RNU196644 RXQ196643:RXQ196644 SHM196643:SHM196644 SRI196643:SRI196644 TBE196643:TBE196644 TLA196643:TLA196644 TUW196643:TUW196644 UES196643:UES196644 UOO196643:UOO196644 UYK196643:UYK196644 VIG196643:VIG196644 VSC196643:VSC196644 WBY196643:WBY196644 WLU196643:WLU196644 WVQ196643:WVQ196644 I262179:I262180 JE262179:JE262180 TA262179:TA262180 ACW262179:ACW262180 AMS262179:AMS262180 AWO262179:AWO262180 BGK262179:BGK262180 BQG262179:BQG262180 CAC262179:CAC262180 CJY262179:CJY262180 CTU262179:CTU262180 DDQ262179:DDQ262180 DNM262179:DNM262180 DXI262179:DXI262180 EHE262179:EHE262180 ERA262179:ERA262180 FAW262179:FAW262180 FKS262179:FKS262180 FUO262179:FUO262180 GEK262179:GEK262180 GOG262179:GOG262180 GYC262179:GYC262180 HHY262179:HHY262180 HRU262179:HRU262180 IBQ262179:IBQ262180 ILM262179:ILM262180 IVI262179:IVI262180 JFE262179:JFE262180 JPA262179:JPA262180 JYW262179:JYW262180 KIS262179:KIS262180 KSO262179:KSO262180 LCK262179:LCK262180 LMG262179:LMG262180 LWC262179:LWC262180 MFY262179:MFY262180 MPU262179:MPU262180 MZQ262179:MZQ262180 NJM262179:NJM262180 NTI262179:NTI262180 ODE262179:ODE262180 ONA262179:ONA262180 OWW262179:OWW262180 PGS262179:PGS262180 PQO262179:PQO262180 QAK262179:QAK262180 QKG262179:QKG262180 QUC262179:QUC262180 RDY262179:RDY262180 RNU262179:RNU262180 RXQ262179:RXQ262180 SHM262179:SHM262180 SRI262179:SRI262180 TBE262179:TBE262180 TLA262179:TLA262180 TUW262179:TUW262180 UES262179:UES262180 UOO262179:UOO262180 UYK262179:UYK262180 VIG262179:VIG262180 VSC262179:VSC262180 WBY262179:WBY262180 WLU262179:WLU262180 WVQ262179:WVQ262180 I327715:I327716 JE327715:JE327716 TA327715:TA327716 ACW327715:ACW327716 AMS327715:AMS327716 AWO327715:AWO327716 BGK327715:BGK327716 BQG327715:BQG327716 CAC327715:CAC327716 CJY327715:CJY327716 CTU327715:CTU327716 DDQ327715:DDQ327716 DNM327715:DNM327716 DXI327715:DXI327716 EHE327715:EHE327716 ERA327715:ERA327716 FAW327715:FAW327716 FKS327715:FKS327716 FUO327715:FUO327716 GEK327715:GEK327716 GOG327715:GOG327716 GYC327715:GYC327716 HHY327715:HHY327716 HRU327715:HRU327716 IBQ327715:IBQ327716 ILM327715:ILM327716 IVI327715:IVI327716 JFE327715:JFE327716 JPA327715:JPA327716 JYW327715:JYW327716 KIS327715:KIS327716 KSO327715:KSO327716 LCK327715:LCK327716 LMG327715:LMG327716 LWC327715:LWC327716 MFY327715:MFY327716 MPU327715:MPU327716 MZQ327715:MZQ327716 NJM327715:NJM327716 NTI327715:NTI327716 ODE327715:ODE327716 ONA327715:ONA327716 OWW327715:OWW327716 PGS327715:PGS327716 PQO327715:PQO327716 QAK327715:QAK327716 QKG327715:QKG327716 QUC327715:QUC327716 RDY327715:RDY327716 RNU327715:RNU327716 RXQ327715:RXQ327716 SHM327715:SHM327716 SRI327715:SRI327716 TBE327715:TBE327716 TLA327715:TLA327716 TUW327715:TUW327716 UES327715:UES327716 UOO327715:UOO327716 UYK327715:UYK327716 VIG327715:VIG327716 VSC327715:VSC327716 WBY327715:WBY327716 WLU327715:WLU327716 WVQ327715:WVQ327716 I393251:I393252 JE393251:JE393252 TA393251:TA393252 ACW393251:ACW393252 AMS393251:AMS393252 AWO393251:AWO393252 BGK393251:BGK393252 BQG393251:BQG393252 CAC393251:CAC393252 CJY393251:CJY393252 CTU393251:CTU393252 DDQ393251:DDQ393252 DNM393251:DNM393252 DXI393251:DXI393252 EHE393251:EHE393252 ERA393251:ERA393252 FAW393251:FAW393252 FKS393251:FKS393252 FUO393251:FUO393252 GEK393251:GEK393252 GOG393251:GOG393252 GYC393251:GYC393252 HHY393251:HHY393252 HRU393251:HRU393252 IBQ393251:IBQ393252 ILM393251:ILM393252 IVI393251:IVI393252 JFE393251:JFE393252 JPA393251:JPA393252 JYW393251:JYW393252 KIS393251:KIS393252 KSO393251:KSO393252 LCK393251:LCK393252 LMG393251:LMG393252 LWC393251:LWC393252 MFY393251:MFY393252 MPU393251:MPU393252 MZQ393251:MZQ393252 NJM393251:NJM393252 NTI393251:NTI393252 ODE393251:ODE393252 ONA393251:ONA393252 OWW393251:OWW393252 PGS393251:PGS393252 PQO393251:PQO393252 QAK393251:QAK393252 QKG393251:QKG393252 QUC393251:QUC393252 RDY393251:RDY393252 RNU393251:RNU393252 RXQ393251:RXQ393252 SHM393251:SHM393252 SRI393251:SRI393252 TBE393251:TBE393252 TLA393251:TLA393252 TUW393251:TUW393252 UES393251:UES393252 UOO393251:UOO393252 UYK393251:UYK393252 VIG393251:VIG393252 VSC393251:VSC393252 WBY393251:WBY393252 WLU393251:WLU393252 WVQ393251:WVQ393252 I458787:I458788 JE458787:JE458788 TA458787:TA458788 ACW458787:ACW458788 AMS458787:AMS458788 AWO458787:AWO458788 BGK458787:BGK458788 BQG458787:BQG458788 CAC458787:CAC458788 CJY458787:CJY458788 CTU458787:CTU458788 DDQ458787:DDQ458788 DNM458787:DNM458788 DXI458787:DXI458788 EHE458787:EHE458788 ERA458787:ERA458788 FAW458787:FAW458788 FKS458787:FKS458788 FUO458787:FUO458788 GEK458787:GEK458788 GOG458787:GOG458788 GYC458787:GYC458788 HHY458787:HHY458788 HRU458787:HRU458788 IBQ458787:IBQ458788 ILM458787:ILM458788 IVI458787:IVI458788 JFE458787:JFE458788 JPA458787:JPA458788 JYW458787:JYW458788 KIS458787:KIS458788 KSO458787:KSO458788 LCK458787:LCK458788 LMG458787:LMG458788 LWC458787:LWC458788 MFY458787:MFY458788 MPU458787:MPU458788 MZQ458787:MZQ458788 NJM458787:NJM458788 NTI458787:NTI458788 ODE458787:ODE458788 ONA458787:ONA458788 OWW458787:OWW458788 PGS458787:PGS458788 PQO458787:PQO458788 QAK458787:QAK458788 QKG458787:QKG458788 QUC458787:QUC458788 RDY458787:RDY458788 RNU458787:RNU458788 RXQ458787:RXQ458788 SHM458787:SHM458788 SRI458787:SRI458788 TBE458787:TBE458788 TLA458787:TLA458788 TUW458787:TUW458788 UES458787:UES458788 UOO458787:UOO458788 UYK458787:UYK458788 VIG458787:VIG458788 VSC458787:VSC458788 WBY458787:WBY458788 WLU458787:WLU458788 WVQ458787:WVQ458788 I524323:I524324 JE524323:JE524324 TA524323:TA524324 ACW524323:ACW524324 AMS524323:AMS524324 AWO524323:AWO524324 BGK524323:BGK524324 BQG524323:BQG524324 CAC524323:CAC524324 CJY524323:CJY524324 CTU524323:CTU524324 DDQ524323:DDQ524324 DNM524323:DNM524324 DXI524323:DXI524324 EHE524323:EHE524324 ERA524323:ERA524324 FAW524323:FAW524324 FKS524323:FKS524324 FUO524323:FUO524324 GEK524323:GEK524324 GOG524323:GOG524324 GYC524323:GYC524324 HHY524323:HHY524324 HRU524323:HRU524324 IBQ524323:IBQ524324 ILM524323:ILM524324 IVI524323:IVI524324 JFE524323:JFE524324 JPA524323:JPA524324 JYW524323:JYW524324 KIS524323:KIS524324 KSO524323:KSO524324 LCK524323:LCK524324 LMG524323:LMG524324 LWC524323:LWC524324 MFY524323:MFY524324 MPU524323:MPU524324 MZQ524323:MZQ524324 NJM524323:NJM524324 NTI524323:NTI524324 ODE524323:ODE524324 ONA524323:ONA524324 OWW524323:OWW524324 PGS524323:PGS524324 PQO524323:PQO524324 QAK524323:QAK524324 QKG524323:QKG524324 QUC524323:QUC524324 RDY524323:RDY524324 RNU524323:RNU524324 RXQ524323:RXQ524324 SHM524323:SHM524324 SRI524323:SRI524324 TBE524323:TBE524324 TLA524323:TLA524324 TUW524323:TUW524324 UES524323:UES524324 UOO524323:UOO524324 UYK524323:UYK524324 VIG524323:VIG524324 VSC524323:VSC524324 WBY524323:WBY524324 WLU524323:WLU524324 WVQ524323:WVQ524324 I589859:I589860 JE589859:JE589860 TA589859:TA589860 ACW589859:ACW589860 AMS589859:AMS589860 AWO589859:AWO589860 BGK589859:BGK589860 BQG589859:BQG589860 CAC589859:CAC589860 CJY589859:CJY589860 CTU589859:CTU589860 DDQ589859:DDQ589860 DNM589859:DNM589860 DXI589859:DXI589860 EHE589859:EHE589860 ERA589859:ERA589860 FAW589859:FAW589860 FKS589859:FKS589860 FUO589859:FUO589860 GEK589859:GEK589860 GOG589859:GOG589860 GYC589859:GYC589860 HHY589859:HHY589860 HRU589859:HRU589860 IBQ589859:IBQ589860 ILM589859:ILM589860 IVI589859:IVI589860 JFE589859:JFE589860 JPA589859:JPA589860 JYW589859:JYW589860 KIS589859:KIS589860 KSO589859:KSO589860 LCK589859:LCK589860 LMG589859:LMG589860 LWC589859:LWC589860 MFY589859:MFY589860 MPU589859:MPU589860 MZQ589859:MZQ589860 NJM589859:NJM589860 NTI589859:NTI589860 ODE589859:ODE589860 ONA589859:ONA589860 OWW589859:OWW589860 PGS589859:PGS589860 PQO589859:PQO589860 QAK589859:QAK589860 QKG589859:QKG589860 QUC589859:QUC589860 RDY589859:RDY589860 RNU589859:RNU589860 RXQ589859:RXQ589860 SHM589859:SHM589860 SRI589859:SRI589860 TBE589859:TBE589860 TLA589859:TLA589860 TUW589859:TUW589860 UES589859:UES589860 UOO589859:UOO589860 UYK589859:UYK589860 VIG589859:VIG589860 VSC589859:VSC589860 WBY589859:WBY589860 WLU589859:WLU589860 WVQ589859:WVQ589860 I655395:I655396 JE655395:JE655396 TA655395:TA655396 ACW655395:ACW655396 AMS655395:AMS655396 AWO655395:AWO655396 BGK655395:BGK655396 BQG655395:BQG655396 CAC655395:CAC655396 CJY655395:CJY655396 CTU655395:CTU655396 DDQ655395:DDQ655396 DNM655395:DNM655396 DXI655395:DXI655396 EHE655395:EHE655396 ERA655395:ERA655396 FAW655395:FAW655396 FKS655395:FKS655396 FUO655395:FUO655396 GEK655395:GEK655396 GOG655395:GOG655396 GYC655395:GYC655396 HHY655395:HHY655396 HRU655395:HRU655396 IBQ655395:IBQ655396 ILM655395:ILM655396 IVI655395:IVI655396 JFE655395:JFE655396 JPA655395:JPA655396 JYW655395:JYW655396 KIS655395:KIS655396 KSO655395:KSO655396 LCK655395:LCK655396 LMG655395:LMG655396 LWC655395:LWC655396 MFY655395:MFY655396 MPU655395:MPU655396 MZQ655395:MZQ655396 NJM655395:NJM655396 NTI655395:NTI655396 ODE655395:ODE655396 ONA655395:ONA655396 OWW655395:OWW655396 PGS655395:PGS655396 PQO655395:PQO655396 QAK655395:QAK655396 QKG655395:QKG655396 QUC655395:QUC655396 RDY655395:RDY655396 RNU655395:RNU655396 RXQ655395:RXQ655396 SHM655395:SHM655396 SRI655395:SRI655396 TBE655395:TBE655396 TLA655395:TLA655396 TUW655395:TUW655396 UES655395:UES655396 UOO655395:UOO655396 UYK655395:UYK655396 VIG655395:VIG655396 VSC655395:VSC655396 WBY655395:WBY655396 WLU655395:WLU655396 WVQ655395:WVQ655396 I720931:I720932 JE720931:JE720932 TA720931:TA720932 ACW720931:ACW720932 AMS720931:AMS720932 AWO720931:AWO720932 BGK720931:BGK720932 BQG720931:BQG720932 CAC720931:CAC720932 CJY720931:CJY720932 CTU720931:CTU720932 DDQ720931:DDQ720932 DNM720931:DNM720932 DXI720931:DXI720932 EHE720931:EHE720932 ERA720931:ERA720932 FAW720931:FAW720932 FKS720931:FKS720932 FUO720931:FUO720932 GEK720931:GEK720932 GOG720931:GOG720932 GYC720931:GYC720932 HHY720931:HHY720932 HRU720931:HRU720932 IBQ720931:IBQ720932 ILM720931:ILM720932 IVI720931:IVI720932 JFE720931:JFE720932 JPA720931:JPA720932 JYW720931:JYW720932 KIS720931:KIS720932 KSO720931:KSO720932 LCK720931:LCK720932 LMG720931:LMG720932 LWC720931:LWC720932 MFY720931:MFY720932 MPU720931:MPU720932 MZQ720931:MZQ720932 NJM720931:NJM720932 NTI720931:NTI720932 ODE720931:ODE720932 ONA720931:ONA720932 OWW720931:OWW720932 PGS720931:PGS720932 PQO720931:PQO720932 QAK720931:QAK720932 QKG720931:QKG720932 QUC720931:QUC720932 RDY720931:RDY720932 RNU720931:RNU720932 RXQ720931:RXQ720932 SHM720931:SHM720932 SRI720931:SRI720932 TBE720931:TBE720932 TLA720931:TLA720932 TUW720931:TUW720932 UES720931:UES720932 UOO720931:UOO720932 UYK720931:UYK720932 VIG720931:VIG720932 VSC720931:VSC720932 WBY720931:WBY720932 WLU720931:WLU720932 WVQ720931:WVQ720932 I786467:I786468 JE786467:JE786468 TA786467:TA786468 ACW786467:ACW786468 AMS786467:AMS786468 AWO786467:AWO786468 BGK786467:BGK786468 BQG786467:BQG786468 CAC786467:CAC786468 CJY786467:CJY786468 CTU786467:CTU786468 DDQ786467:DDQ786468 DNM786467:DNM786468 DXI786467:DXI786468 EHE786467:EHE786468 ERA786467:ERA786468 FAW786467:FAW786468 FKS786467:FKS786468 FUO786467:FUO786468 GEK786467:GEK786468 GOG786467:GOG786468 GYC786467:GYC786468 HHY786467:HHY786468 HRU786467:HRU786468 IBQ786467:IBQ786468 ILM786467:ILM786468 IVI786467:IVI786468 JFE786467:JFE786468 JPA786467:JPA786468 JYW786467:JYW786468 KIS786467:KIS786468 KSO786467:KSO786468 LCK786467:LCK786468 LMG786467:LMG786468 LWC786467:LWC786468 MFY786467:MFY786468 MPU786467:MPU786468 MZQ786467:MZQ786468 NJM786467:NJM786468 NTI786467:NTI786468 ODE786467:ODE786468 ONA786467:ONA786468 OWW786467:OWW786468 PGS786467:PGS786468 PQO786467:PQO786468 QAK786467:QAK786468 QKG786467:QKG786468 QUC786467:QUC786468 RDY786467:RDY786468 RNU786467:RNU786468 RXQ786467:RXQ786468 SHM786467:SHM786468 SRI786467:SRI786468 TBE786467:TBE786468 TLA786467:TLA786468 TUW786467:TUW786468 UES786467:UES786468 UOO786467:UOO786468 UYK786467:UYK786468 VIG786467:VIG786468 VSC786467:VSC786468 WBY786467:WBY786468 WLU786467:WLU786468 WVQ786467:WVQ786468 I852003:I852004 JE852003:JE852004 TA852003:TA852004 ACW852003:ACW852004 AMS852003:AMS852004 AWO852003:AWO852004 BGK852003:BGK852004 BQG852003:BQG852004 CAC852003:CAC852004 CJY852003:CJY852004 CTU852003:CTU852004 DDQ852003:DDQ852004 DNM852003:DNM852004 DXI852003:DXI852004 EHE852003:EHE852004 ERA852003:ERA852004 FAW852003:FAW852004 FKS852003:FKS852004 FUO852003:FUO852004 GEK852003:GEK852004 GOG852003:GOG852004 GYC852003:GYC852004 HHY852003:HHY852004 HRU852003:HRU852004 IBQ852003:IBQ852004 ILM852003:ILM852004 IVI852003:IVI852004 JFE852003:JFE852004 JPA852003:JPA852004 JYW852003:JYW852004 KIS852003:KIS852004 KSO852003:KSO852004 LCK852003:LCK852004 LMG852003:LMG852004 LWC852003:LWC852004 MFY852003:MFY852004 MPU852003:MPU852004 MZQ852003:MZQ852004 NJM852003:NJM852004 NTI852003:NTI852004 ODE852003:ODE852004 ONA852003:ONA852004 OWW852003:OWW852004 PGS852003:PGS852004 PQO852003:PQO852004 QAK852003:QAK852004 QKG852003:QKG852004 QUC852003:QUC852004 RDY852003:RDY852004 RNU852003:RNU852004 RXQ852003:RXQ852004 SHM852003:SHM852004 SRI852003:SRI852004 TBE852003:TBE852004 TLA852003:TLA852004 TUW852003:TUW852004 UES852003:UES852004 UOO852003:UOO852004 UYK852003:UYK852004 VIG852003:VIG852004 VSC852003:VSC852004 WBY852003:WBY852004 WLU852003:WLU852004 WVQ852003:WVQ852004 I917539:I917540 JE917539:JE917540 TA917539:TA917540 ACW917539:ACW917540 AMS917539:AMS917540 AWO917539:AWO917540 BGK917539:BGK917540 BQG917539:BQG917540 CAC917539:CAC917540 CJY917539:CJY917540 CTU917539:CTU917540 DDQ917539:DDQ917540 DNM917539:DNM917540 DXI917539:DXI917540 EHE917539:EHE917540 ERA917539:ERA917540 FAW917539:FAW917540 FKS917539:FKS917540 FUO917539:FUO917540 GEK917539:GEK917540 GOG917539:GOG917540 GYC917539:GYC917540 HHY917539:HHY917540 HRU917539:HRU917540 IBQ917539:IBQ917540 ILM917539:ILM917540 IVI917539:IVI917540 JFE917539:JFE917540 JPA917539:JPA917540 JYW917539:JYW917540 KIS917539:KIS917540 KSO917539:KSO917540 LCK917539:LCK917540 LMG917539:LMG917540 LWC917539:LWC917540 MFY917539:MFY917540 MPU917539:MPU917540 MZQ917539:MZQ917540 NJM917539:NJM917540 NTI917539:NTI917540 ODE917539:ODE917540 ONA917539:ONA917540 OWW917539:OWW917540 PGS917539:PGS917540 PQO917539:PQO917540 QAK917539:QAK917540 QKG917539:QKG917540 QUC917539:QUC917540 RDY917539:RDY917540 RNU917539:RNU917540 RXQ917539:RXQ917540 SHM917539:SHM917540 SRI917539:SRI917540 TBE917539:TBE917540 TLA917539:TLA917540 TUW917539:TUW917540 UES917539:UES917540 UOO917539:UOO917540 UYK917539:UYK917540 VIG917539:VIG917540 VSC917539:VSC917540 WBY917539:WBY917540 WLU917539:WLU917540 WVQ917539:WVQ917540 I983075:I983076 JE983075:JE983076 TA983075:TA983076 ACW983075:ACW983076 AMS983075:AMS983076 AWO983075:AWO983076 BGK983075:BGK983076 BQG983075:BQG983076 CAC983075:CAC983076 CJY983075:CJY983076 CTU983075:CTU983076 DDQ983075:DDQ983076 DNM983075:DNM983076 DXI983075:DXI983076 EHE983075:EHE983076 ERA983075:ERA983076 FAW983075:FAW983076 FKS983075:FKS983076 FUO983075:FUO983076 GEK983075:GEK983076 GOG983075:GOG983076 GYC983075:GYC983076 HHY983075:HHY983076 HRU983075:HRU983076 IBQ983075:IBQ983076 ILM983075:ILM983076 IVI983075:IVI983076 JFE983075:JFE983076 JPA983075:JPA983076 JYW983075:JYW983076 KIS983075:KIS983076 KSO983075:KSO983076 LCK983075:LCK983076 LMG983075:LMG983076 LWC983075:LWC983076 MFY983075:MFY983076 MPU983075:MPU983076 MZQ983075:MZQ983076 NJM983075:NJM983076 NTI983075:NTI983076 ODE983075:ODE983076 ONA983075:ONA983076 OWW983075:OWW983076 PGS983075:PGS983076 PQO983075:PQO983076 QAK983075:QAK983076 QKG983075:QKG983076 QUC983075:QUC983076 RDY983075:RDY983076 RNU983075:RNU983076 RXQ983075:RXQ983076 SHM983075:SHM983076 SRI983075:SRI983076 TBE983075:TBE983076 TLA983075:TLA983076 TUW983075:TUW983076 UES983075:UES983076 UOO983075:UOO983076 UYK983075:UYK983076 VIG983075:VIG983076 VSC983075:VSC983076 WBY983075:WBY983076 WLU983075:WLU983076 WVQ983075:WVQ983076 VIG98307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formula1>"1,2,3,4,5"</formula1>
    </dataValidation>
    <dataValidation type="list" allowBlank="1" showInputMessage="1" showErrorMessage="1"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formula1>"○,　"</formula1>
    </dataValidation>
    <dataValidation type="list" allowBlank="1" showInputMessage="1" showErrorMessage="1" sqref="E25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65 WLQ983065 WBU983065 VRY983065 VIC983065 UYG983065 UOK983065 UEO983065 TUS983065 TKW983065 TBA983065 SRE983065 SHI983065 RXM983065 RNQ983065 RDU983065 QTY983065 QKC983065 QAG983065 PQK983065 PGO983065 OWS983065 OMW983065 ODA983065 NTE983065 NJI983065 MZM983065 MPQ983065 MFU983065 LVY983065 LMC983065 LCG983065 KSK983065 KIO983065 JYS983065 JOW983065 JFA983065 IVE983065 ILI983065 IBM983065 HRQ983065 HHU983065 GXY983065 GOC983065 GEG983065 FUK983065 FKO983065 FAS983065 EQW983065 EHA983065 DXE983065 DNI983065 DDM983065 CTQ983065 CJU983065 BZY983065 BQC983065 BGG983065 AWK983065 AMO983065 ACS983065 SW983065 JA983065 E983065 WVM917529 WLQ917529 WBU917529 VRY917529 VIC917529 UYG917529 UOK917529 UEO917529 TUS917529 TKW917529 TBA917529 SRE917529 SHI917529 RXM917529 RNQ917529 RDU917529 QTY917529 QKC917529 QAG917529 PQK917529 PGO917529 OWS917529 OMW917529 ODA917529 NTE917529 NJI917529 MZM917529 MPQ917529 MFU917529 LVY917529 LMC917529 LCG917529 KSK917529 KIO917529 JYS917529 JOW917529 JFA917529 IVE917529 ILI917529 IBM917529 HRQ917529 HHU917529 GXY917529 GOC917529 GEG917529 FUK917529 FKO917529 FAS917529 EQW917529 EHA917529 DXE917529 DNI917529 DDM917529 CTQ917529 CJU917529 BZY917529 BQC917529 BGG917529 AWK917529 AMO917529 ACS917529 SW917529 JA917529 E917529 WVM851993 WLQ851993 WBU851993 VRY851993 VIC851993 UYG851993 UOK851993 UEO851993 TUS851993 TKW851993 TBA851993 SRE851993 SHI851993 RXM851993 RNQ851993 RDU851993 QTY851993 QKC851993 QAG851993 PQK851993 PGO851993 OWS851993 OMW851993 ODA851993 NTE851993 NJI851993 MZM851993 MPQ851993 MFU851993 LVY851993 LMC851993 LCG851993 KSK851993 KIO851993 JYS851993 JOW851993 JFA851993 IVE851993 ILI851993 IBM851993 HRQ851993 HHU851993 GXY851993 GOC851993 GEG851993 FUK851993 FKO851993 FAS851993 EQW851993 EHA851993 DXE851993 DNI851993 DDM851993 CTQ851993 CJU851993 BZY851993 BQC851993 BGG851993 AWK851993 AMO851993 ACS851993 SW851993 JA851993 E851993 WVM786457 WLQ786457 WBU786457 VRY786457 VIC786457 UYG786457 UOK786457 UEO786457 TUS786457 TKW786457 TBA786457 SRE786457 SHI786457 RXM786457 RNQ786457 RDU786457 QTY786457 QKC786457 QAG786457 PQK786457 PGO786457 OWS786457 OMW786457 ODA786457 NTE786457 NJI786457 MZM786457 MPQ786457 MFU786457 LVY786457 LMC786457 LCG786457 KSK786457 KIO786457 JYS786457 JOW786457 JFA786457 IVE786457 ILI786457 IBM786457 HRQ786457 HHU786457 GXY786457 GOC786457 GEG786457 FUK786457 FKO786457 FAS786457 EQW786457 EHA786457 DXE786457 DNI786457 DDM786457 CTQ786457 CJU786457 BZY786457 BQC786457 BGG786457 AWK786457 AMO786457 ACS786457 SW786457 JA786457 E786457 WVM720921 WLQ720921 WBU720921 VRY720921 VIC720921 UYG720921 UOK720921 UEO720921 TUS720921 TKW720921 TBA720921 SRE720921 SHI720921 RXM720921 RNQ720921 RDU720921 QTY720921 QKC720921 QAG720921 PQK720921 PGO720921 OWS720921 OMW720921 ODA720921 NTE720921 NJI720921 MZM720921 MPQ720921 MFU720921 LVY720921 LMC720921 LCG720921 KSK720921 KIO720921 JYS720921 JOW720921 JFA720921 IVE720921 ILI720921 IBM720921 HRQ720921 HHU720921 GXY720921 GOC720921 GEG720921 FUK720921 FKO720921 FAS720921 EQW720921 EHA720921 DXE720921 DNI720921 DDM720921 CTQ720921 CJU720921 BZY720921 BQC720921 BGG720921 AWK720921 AMO720921 ACS720921 SW720921 JA720921 E720921 WVM655385 WLQ655385 WBU655385 VRY655385 VIC655385 UYG655385 UOK655385 UEO655385 TUS655385 TKW655385 TBA655385 SRE655385 SHI655385 RXM655385 RNQ655385 RDU655385 QTY655385 QKC655385 QAG655385 PQK655385 PGO655385 OWS655385 OMW655385 ODA655385 NTE655385 NJI655385 MZM655385 MPQ655385 MFU655385 LVY655385 LMC655385 LCG655385 KSK655385 KIO655385 JYS655385 JOW655385 JFA655385 IVE655385 ILI655385 IBM655385 HRQ655385 HHU655385 GXY655385 GOC655385 GEG655385 FUK655385 FKO655385 FAS655385 EQW655385 EHA655385 DXE655385 DNI655385 DDM655385 CTQ655385 CJU655385 BZY655385 BQC655385 BGG655385 AWK655385 AMO655385 ACS655385 SW655385 JA655385 E655385 WVM589849 WLQ589849 WBU589849 VRY589849 VIC589849 UYG589849 UOK589849 UEO589849 TUS589849 TKW589849 TBA589849 SRE589849 SHI589849 RXM589849 RNQ589849 RDU589849 QTY589849 QKC589849 QAG589849 PQK589849 PGO589849 OWS589849 OMW589849 ODA589849 NTE589849 NJI589849 MZM589849 MPQ589849 MFU589849 LVY589849 LMC589849 LCG589849 KSK589849 KIO589849 JYS589849 JOW589849 JFA589849 IVE589849 ILI589849 IBM589849 HRQ589849 HHU589849 GXY589849 GOC589849 GEG589849 FUK589849 FKO589849 FAS589849 EQW589849 EHA589849 DXE589849 DNI589849 DDM589849 CTQ589849 CJU589849 BZY589849 BQC589849 BGG589849 AWK589849 AMO589849 ACS589849 SW589849 JA589849 E589849 WVM524313 WLQ524313 WBU524313 VRY524313 VIC524313 UYG524313 UOK524313 UEO524313 TUS524313 TKW524313 TBA524313 SRE524313 SHI524313 RXM524313 RNQ524313 RDU524313 QTY524313 QKC524313 QAG524313 PQK524313 PGO524313 OWS524313 OMW524313 ODA524313 NTE524313 NJI524313 MZM524313 MPQ524313 MFU524313 LVY524313 LMC524313 LCG524313 KSK524313 KIO524313 JYS524313 JOW524313 JFA524313 IVE524313 ILI524313 IBM524313 HRQ524313 HHU524313 GXY524313 GOC524313 GEG524313 FUK524313 FKO524313 FAS524313 EQW524313 EHA524313 DXE524313 DNI524313 DDM524313 CTQ524313 CJU524313 BZY524313 BQC524313 BGG524313 AWK524313 AMO524313 ACS524313 SW524313 JA524313 E524313 WVM458777 WLQ458777 WBU458777 VRY458777 VIC458777 UYG458777 UOK458777 UEO458777 TUS458777 TKW458777 TBA458777 SRE458777 SHI458777 RXM458777 RNQ458777 RDU458777 QTY458777 QKC458777 QAG458777 PQK458777 PGO458777 OWS458777 OMW458777 ODA458777 NTE458777 NJI458777 MZM458777 MPQ458777 MFU458777 LVY458777 LMC458777 LCG458777 KSK458777 KIO458777 JYS458777 JOW458777 JFA458777 IVE458777 ILI458777 IBM458777 HRQ458777 HHU458777 GXY458777 GOC458777 GEG458777 FUK458777 FKO458777 FAS458777 EQW458777 EHA458777 DXE458777 DNI458777 DDM458777 CTQ458777 CJU458777 BZY458777 BQC458777 BGG458777 AWK458777 AMO458777 ACS458777 SW458777 JA458777 E458777 WVM393241 WLQ393241 WBU393241 VRY393241 VIC393241 UYG393241 UOK393241 UEO393241 TUS393241 TKW393241 TBA393241 SRE393241 SHI393241 RXM393241 RNQ393241 RDU393241 QTY393241 QKC393241 QAG393241 PQK393241 PGO393241 OWS393241 OMW393241 ODA393241 NTE393241 NJI393241 MZM393241 MPQ393241 MFU393241 LVY393241 LMC393241 LCG393241 KSK393241 KIO393241 JYS393241 JOW393241 JFA393241 IVE393241 ILI393241 IBM393241 HRQ393241 HHU393241 GXY393241 GOC393241 GEG393241 FUK393241 FKO393241 FAS393241 EQW393241 EHA393241 DXE393241 DNI393241 DDM393241 CTQ393241 CJU393241 BZY393241 BQC393241 BGG393241 AWK393241 AMO393241 ACS393241 SW393241 JA393241 E393241 WVM327705 WLQ327705 WBU327705 VRY327705 VIC327705 UYG327705 UOK327705 UEO327705 TUS327705 TKW327705 TBA327705 SRE327705 SHI327705 RXM327705 RNQ327705 RDU327705 QTY327705 QKC327705 QAG327705 PQK327705 PGO327705 OWS327705 OMW327705 ODA327705 NTE327705 NJI327705 MZM327705 MPQ327705 MFU327705 LVY327705 LMC327705 LCG327705 KSK327705 KIO327705 JYS327705 JOW327705 JFA327705 IVE327705 ILI327705 IBM327705 HRQ327705 HHU327705 GXY327705 GOC327705 GEG327705 FUK327705 FKO327705 FAS327705 EQW327705 EHA327705 DXE327705 DNI327705 DDM327705 CTQ327705 CJU327705 BZY327705 BQC327705 BGG327705 AWK327705 AMO327705 ACS327705 SW327705 JA327705 E327705 WVM262169 WLQ262169 WBU262169 VRY262169 VIC262169 UYG262169 UOK262169 UEO262169 TUS262169 TKW262169 TBA262169 SRE262169 SHI262169 RXM262169 RNQ262169 RDU262169 QTY262169 QKC262169 QAG262169 PQK262169 PGO262169 OWS262169 OMW262169 ODA262169 NTE262169 NJI262169 MZM262169 MPQ262169 MFU262169 LVY262169 LMC262169 LCG262169 KSK262169 KIO262169 JYS262169 JOW262169 JFA262169 IVE262169 ILI262169 IBM262169 HRQ262169 HHU262169 GXY262169 GOC262169 GEG262169 FUK262169 FKO262169 FAS262169 EQW262169 EHA262169 DXE262169 DNI262169 DDM262169 CTQ262169 CJU262169 BZY262169 BQC262169 BGG262169 AWK262169 AMO262169 ACS262169 SW262169 JA262169 E262169 WVM196633 WLQ196633 WBU196633 VRY196633 VIC196633 UYG196633 UOK196633 UEO196633 TUS196633 TKW196633 TBA196633 SRE196633 SHI196633 RXM196633 RNQ196633 RDU196633 QTY196633 QKC196633 QAG196633 PQK196633 PGO196633 OWS196633 OMW196633 ODA196633 NTE196633 NJI196633 MZM196633 MPQ196633 MFU196633 LVY196633 LMC196633 LCG196633 KSK196633 KIO196633 JYS196633 JOW196633 JFA196633 IVE196633 ILI196633 IBM196633 HRQ196633 HHU196633 GXY196633 GOC196633 GEG196633 FUK196633 FKO196633 FAS196633 EQW196633 EHA196633 DXE196633 DNI196633 DDM196633 CTQ196633 CJU196633 BZY196633 BQC196633 BGG196633 AWK196633 AMO196633 ACS196633 SW196633 JA196633 E196633 WVM131097 WLQ131097 WBU131097 VRY131097 VIC131097 UYG131097 UOK131097 UEO131097 TUS131097 TKW131097 TBA131097 SRE131097 SHI131097 RXM131097 RNQ131097 RDU131097 QTY131097 QKC131097 QAG131097 PQK131097 PGO131097 OWS131097 OMW131097 ODA131097 NTE131097 NJI131097 MZM131097 MPQ131097 MFU131097 LVY131097 LMC131097 LCG131097 KSK131097 KIO131097 JYS131097 JOW131097 JFA131097 IVE131097 ILI131097 IBM131097 HRQ131097 HHU131097 GXY131097 GOC131097 GEG131097 FUK131097 FKO131097 FAS131097 EQW131097 EHA131097 DXE131097 DNI131097 DDM131097 CTQ131097 CJU131097 BZY131097 BQC131097 BGG131097 AWK131097 AMO131097 ACS131097 SW131097 JA131097 E131097 WVM65561 WLQ65561 WBU65561 VRY65561 VIC65561 UYG65561 UOK65561 UEO65561 TUS65561 TKW65561 TBA65561 SRE65561 SHI65561 RXM65561 RNQ65561 RDU65561 QTY65561 QKC65561 QAG65561 PQK65561 PGO65561 OWS65561 OMW65561 ODA65561 NTE65561 NJI65561 MZM65561 MPQ65561 MFU65561 LVY65561 LMC65561 LCG65561 KSK65561 KIO65561 JYS65561 JOW65561 JFA65561 IVE65561 ILI65561 IBM65561 HRQ65561 HHU65561 GXY65561 GOC65561 GEG65561 FUK65561 FKO65561 FAS65561 EQW65561 EHA65561 DXE65561 DNI65561 DDM65561 CTQ65561 CJU65561 BZY65561 BQC65561 BGG65561 AWK65561 AMO65561 ACS65561 SW65561 JA65561 E65561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formula1>$V$17:$V$18</formula1>
    </dataValidation>
  </dataValidations>
  <pageMargins left="0.75" right="0.75" top="1" bottom="1" header="0.51200000000000001" footer="0.51200000000000001"/>
  <pageSetup paperSize="9" scale="76" fitToHeight="2" orientation="portrait" r:id="rId1"/>
  <headerFooter alignWithMargins="0">
    <oddHeader>&amp;L&amp;F&amp;R&amp;A</oddHeader>
    <oddFooter>&amp;C&amp;P/&amp;N</oddFooter>
  </headerFooter>
  <colBreaks count="1" manualBreakCount="1">
    <brk id="14" max="7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C6" sqref="C6"/>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4" t="str">
        <f>メイン!C6</f>
        <v>CASBEE-建築(新築)2016年版</v>
      </c>
      <c r="C2" s="825"/>
      <c r="D2" s="826"/>
      <c r="E2" s="827"/>
      <c r="F2" s="2286"/>
      <c r="G2" s="2286"/>
      <c r="H2" s="2286"/>
      <c r="I2" s="2286"/>
      <c r="J2" s="2286"/>
      <c r="K2" s="2286"/>
      <c r="L2" s="3872" t="s">
        <v>2157</v>
      </c>
      <c r="M2" s="3872"/>
      <c r="N2" s="3873" t="str">
        <f>メイン!C6</f>
        <v>CASBEE-建築(新築)2016年版</v>
      </c>
      <c r="O2" s="3874"/>
    </row>
    <row r="3" spans="1:27" ht="14.25" thickBot="1">
      <c r="B3" s="829" t="str">
        <f>メイン!C11</f>
        <v>○○ビル</v>
      </c>
      <c r="C3" s="830"/>
      <c r="D3" s="831"/>
      <c r="E3" s="832"/>
      <c r="F3" s="2286"/>
      <c r="G3" s="2286"/>
      <c r="H3" s="2286"/>
      <c r="I3" s="2286"/>
      <c r="J3" s="2286"/>
      <c r="K3" s="2286"/>
      <c r="L3" s="3872" t="s">
        <v>2578</v>
      </c>
      <c r="M3" s="3875"/>
      <c r="N3" s="2252" t="str">
        <f>メイン!C5</f>
        <v>CASBEE-BD_NC_2016(v3.0)</v>
      </c>
      <c r="O3" s="833"/>
    </row>
    <row r="4" spans="1:27" ht="6.75" customHeight="1" thickBot="1">
      <c r="B4" s="2286"/>
      <c r="C4" s="2286"/>
      <c r="D4" s="2286"/>
      <c r="E4" s="2286"/>
      <c r="F4" s="2286"/>
      <c r="G4" s="2286"/>
      <c r="H4" s="2286"/>
      <c r="I4" s="2286"/>
      <c r="J4" s="2286"/>
      <c r="K4" s="2286"/>
      <c r="L4" s="2286"/>
      <c r="M4" s="2286"/>
      <c r="N4" s="2286"/>
      <c r="O4" s="2286"/>
    </row>
    <row r="5" spans="1:27" ht="18.75">
      <c r="B5" s="834" t="s">
        <v>2394</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8" t="s">
        <v>2395</v>
      </c>
      <c r="M6" s="849"/>
      <c r="N6" s="850"/>
      <c r="O6" s="2285" t="s">
        <v>2396</v>
      </c>
      <c r="R6" t="s">
        <v>772</v>
      </c>
      <c r="S6" t="s">
        <v>771</v>
      </c>
      <c r="T6" t="s">
        <v>773</v>
      </c>
      <c r="U6" t="s">
        <v>774</v>
      </c>
    </row>
    <row r="7" spans="1:27" s="2249" customFormat="1" ht="16.5">
      <c r="B7" s="851" t="s">
        <v>1951</v>
      </c>
      <c r="C7" s="844"/>
      <c r="D7" s="845"/>
      <c r="E7" s="846"/>
      <c r="F7" s="847"/>
      <c r="G7" s="847"/>
      <c r="H7" s="847"/>
      <c r="I7" s="847"/>
      <c r="J7" s="847"/>
      <c r="K7" s="844"/>
      <c r="L7" s="852"/>
      <c r="M7" s="849"/>
      <c r="N7" s="850"/>
      <c r="O7" s="854"/>
      <c r="R7" t="s">
        <v>3049</v>
      </c>
      <c r="S7"/>
      <c r="T7" s="2249" t="s">
        <v>3050</v>
      </c>
      <c r="U7" s="2427">
        <f>SUM(S8:S20)+U21+S22+S23+S25</f>
        <v>30000</v>
      </c>
    </row>
    <row r="8" spans="1:27" ht="14.25">
      <c r="B8" s="2071"/>
      <c r="C8" s="855" t="s">
        <v>1953</v>
      </c>
      <c r="D8" s="856"/>
      <c r="E8" s="846"/>
      <c r="F8" s="847"/>
      <c r="G8" s="847"/>
      <c r="H8" s="852"/>
      <c r="I8" s="853"/>
      <c r="J8" s="852" t="s">
        <v>1952</v>
      </c>
      <c r="K8" s="853"/>
      <c r="L8" s="852" t="s">
        <v>1952</v>
      </c>
      <c r="M8" s="853"/>
      <c r="N8" s="853"/>
      <c r="O8" s="854" t="s">
        <v>1952</v>
      </c>
      <c r="R8" s="1" t="str">
        <f>メイン!B47</f>
        <v xml:space="preserve"> 事務所</v>
      </c>
      <c r="S8" s="2426">
        <f>メイン!C47</f>
        <v>30000</v>
      </c>
    </row>
    <row r="9" spans="1:27">
      <c r="B9" s="2071"/>
      <c r="C9" s="862"/>
      <c r="D9" s="862" t="s">
        <v>332</v>
      </c>
      <c r="E9" s="860"/>
      <c r="F9" s="2287" t="s">
        <v>1642</v>
      </c>
      <c r="G9" s="860"/>
      <c r="H9" s="857" t="s">
        <v>1643</v>
      </c>
      <c r="I9" s="857" t="s">
        <v>1644</v>
      </c>
      <c r="J9" s="857" t="s">
        <v>1645</v>
      </c>
      <c r="K9" s="858" t="s">
        <v>330</v>
      </c>
      <c r="L9" s="859" t="s">
        <v>331</v>
      </c>
      <c r="M9" s="860"/>
      <c r="N9" s="858" t="s">
        <v>330</v>
      </c>
      <c r="O9" s="861" t="s">
        <v>331</v>
      </c>
      <c r="R9" s="1">
        <f>メイン!B48</f>
        <v>0</v>
      </c>
      <c r="S9" s="2426">
        <f>メイン!C48</f>
        <v>0</v>
      </c>
    </row>
    <row r="10" spans="1:27">
      <c r="B10" s="2075"/>
      <c r="C10" s="862"/>
      <c r="D10" s="862"/>
      <c r="E10" s="862" t="s">
        <v>462</v>
      </c>
      <c r="F10" s="2288">
        <f>IF($U$7=0,0,S8/$U$7)</f>
        <v>1</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c r="B11" s="2075"/>
      <c r="C11" s="862"/>
      <c r="D11" s="2292"/>
      <c r="E11" s="862" t="s">
        <v>1795</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c r="B12" s="2075"/>
      <c r="C12" s="862"/>
      <c r="D12" s="862"/>
      <c r="E12" s="862" t="s">
        <v>466</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f>重み!AB7</f>
        <v>0</v>
      </c>
    </row>
    <row r="13" spans="1:27">
      <c r="B13" s="2075"/>
      <c r="C13" s="862"/>
      <c r="D13" s="862"/>
      <c r="E13" s="862" t="s">
        <v>468</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c r="B14" s="2075"/>
      <c r="C14" s="862"/>
      <c r="D14" s="862"/>
      <c r="E14" s="2077" t="s">
        <v>1973</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c r="B15" s="2075"/>
      <c r="C15" s="862"/>
      <c r="D15" s="862"/>
      <c r="E15" s="2077" t="s">
        <v>478</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c r="B16" s="2075"/>
      <c r="C16" s="862"/>
      <c r="D16" s="862"/>
      <c r="E16" s="2077" t="s">
        <v>472</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c r="B17" s="2075"/>
      <c r="C17" s="862"/>
      <c r="D17" s="862"/>
      <c r="E17" s="2077" t="s">
        <v>333</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c r="B18" s="2075"/>
      <c r="C18" s="862"/>
      <c r="D18" s="862"/>
      <c r="E18" s="2077" t="s">
        <v>1954</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334</v>
      </c>
      <c r="E20" s="860"/>
      <c r="F20" s="2297">
        <f>メイン!C23</f>
        <v>0</v>
      </c>
      <c r="G20" s="860"/>
      <c r="H20" s="2298"/>
      <c r="I20" s="2298"/>
      <c r="J20" s="2298"/>
      <c r="K20" s="2299"/>
      <c r="L20" s="860"/>
      <c r="M20" s="860"/>
      <c r="N20" s="2299"/>
      <c r="O20" s="2300"/>
      <c r="R20" s="1">
        <f>メイン!B59</f>
        <v>0</v>
      </c>
      <c r="S20" s="2426">
        <f>メイン!C59</f>
        <v>0</v>
      </c>
      <c r="V20" s="2417"/>
    </row>
    <row r="21" spans="2:22">
      <c r="B21" s="2301"/>
      <c r="C21" s="2072"/>
      <c r="D21" s="2072" t="s">
        <v>335</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2397</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4.25" thickBot="1">
      <c r="B24" s="2301"/>
      <c r="C24" s="855" t="s">
        <v>2398</v>
      </c>
      <c r="D24" s="862"/>
      <c r="E24" s="860"/>
      <c r="F24" s="2072"/>
      <c r="G24" s="2072"/>
      <c r="H24" s="2072"/>
      <c r="I24" s="2072"/>
      <c r="J24" s="2072"/>
      <c r="K24" s="2072"/>
      <c r="L24" s="2304">
        <f>SUMPRODUCT(F10:F18,L10:L18)</f>
        <v>13.998000000000001</v>
      </c>
      <c r="M24" s="2072"/>
      <c r="N24" s="2072"/>
      <c r="O24" s="2304">
        <f>SUMPRODUCT(F10:F18,O10:O18)</f>
        <v>13.998000000000001</v>
      </c>
      <c r="R24" s="1" t="str">
        <f>メイン!B63</f>
        <v xml:space="preserve"> 非住宅　小計</v>
      </c>
      <c r="S24" s="2426">
        <f>メイン!C63</f>
        <v>30000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2399</v>
      </c>
      <c r="D26" s="2072"/>
      <c r="E26" s="862" t="s">
        <v>462</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idden="1">
      <c r="B27" s="2301"/>
      <c r="C27" s="860"/>
      <c r="D27" s="2072"/>
      <c r="E27" s="862" t="s">
        <v>464</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466</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468</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1973</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478</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472</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333</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476</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4.2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2400</v>
      </c>
      <c r="D37" s="2313"/>
      <c r="E37" s="2074"/>
      <c r="F37" s="2074"/>
      <c r="G37" s="2074"/>
      <c r="H37" s="2314"/>
      <c r="I37" s="2315" t="s">
        <v>2401</v>
      </c>
      <c r="J37" s="2315" t="s">
        <v>2402</v>
      </c>
      <c r="K37" s="2316"/>
      <c r="L37" s="2316"/>
      <c r="M37" s="2316"/>
      <c r="N37" s="2316"/>
      <c r="O37" s="2317"/>
    </row>
    <row r="38" spans="2:21" hidden="1">
      <c r="B38" s="2312"/>
      <c r="C38" s="2074"/>
      <c r="D38" s="2074" t="s">
        <v>1794</v>
      </c>
      <c r="E38" s="2074"/>
      <c r="F38" s="2288">
        <f>F10</f>
        <v>1</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2404</v>
      </c>
    </row>
    <row r="39" spans="2:21"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2404</v>
      </c>
    </row>
    <row r="40" spans="2:21" hidden="1">
      <c r="B40" s="2312"/>
      <c r="C40" s="2074"/>
      <c r="D40" s="2074"/>
      <c r="E40" s="2074"/>
      <c r="F40" s="2288">
        <f>$F$38</f>
        <v>1</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2407</v>
      </c>
    </row>
    <row r="41" spans="2:21"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2407</v>
      </c>
    </row>
    <row r="42" spans="2:21" hidden="1">
      <c r="B42" s="2312"/>
      <c r="C42" s="2074"/>
      <c r="D42" s="2074"/>
      <c r="E42" s="2074"/>
      <c r="F42" s="2288">
        <f>$F$38</f>
        <v>1</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2407</v>
      </c>
    </row>
    <row r="43" spans="2:21" hidden="1">
      <c r="B43" s="2312"/>
      <c r="C43" s="2074"/>
      <c r="D43" s="2074"/>
      <c r="E43" s="2074"/>
      <c r="F43" s="2288">
        <f>$F$38</f>
        <v>1</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2407</v>
      </c>
    </row>
    <row r="44" spans="2:21" hidden="1">
      <c r="B44" s="2312"/>
      <c r="C44" s="2074"/>
      <c r="D44" s="2074" t="s">
        <v>1795</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2404</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2404</v>
      </c>
    </row>
    <row r="46" spans="2:21"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2407</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2407</v>
      </c>
    </row>
    <row r="48" spans="2:21"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2407</v>
      </c>
    </row>
    <row r="49" spans="2:16"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2407</v>
      </c>
    </row>
    <row r="50" spans="2:16" hidden="1">
      <c r="B50" s="2312"/>
      <c r="C50" s="2074"/>
      <c r="D50" s="2074" t="s">
        <v>1970</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1955</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2404</v>
      </c>
    </row>
    <row r="52" spans="2:16"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2407</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2407</v>
      </c>
    </row>
    <row r="54" spans="2:16"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2407</v>
      </c>
    </row>
    <row r="55" spans="2:16"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2407</v>
      </c>
    </row>
    <row r="56" spans="2:16" hidden="1">
      <c r="B56" s="2312"/>
      <c r="C56" s="2074"/>
      <c r="D56" s="2074" t="s">
        <v>2088</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2404</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2404</v>
      </c>
    </row>
    <row r="58" spans="2:16"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2407</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2407</v>
      </c>
    </row>
    <row r="60" spans="2:16"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2407</v>
      </c>
    </row>
    <row r="61" spans="2:16"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2407</v>
      </c>
    </row>
    <row r="62" spans="2:16" hidden="1">
      <c r="B62" s="2312"/>
      <c r="C62" s="2074"/>
      <c r="D62" s="2074" t="s">
        <v>1972</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2404</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2404</v>
      </c>
    </row>
    <row r="64" spans="2:16"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2407</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2407</v>
      </c>
    </row>
    <row r="66" spans="2:16"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2407</v>
      </c>
    </row>
    <row r="67" spans="2:16"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2407</v>
      </c>
    </row>
    <row r="68" spans="2:16" hidden="1">
      <c r="B68" s="2312"/>
      <c r="C68" s="2074"/>
      <c r="D68" s="2074" t="s">
        <v>478</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2404</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2404</v>
      </c>
    </row>
    <row r="70" spans="2:16"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2407</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2407</v>
      </c>
    </row>
    <row r="72" spans="2:16"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2407</v>
      </c>
    </row>
    <row r="73" spans="2:16"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2407</v>
      </c>
    </row>
    <row r="74" spans="2:16" hidden="1">
      <c r="B74" s="2312"/>
      <c r="C74" s="2074"/>
      <c r="D74" s="2074" t="s">
        <v>1974</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2404</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2404</v>
      </c>
    </row>
    <row r="76" spans="2:16"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2407</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2407</v>
      </c>
    </row>
    <row r="78" spans="2:16"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2407</v>
      </c>
    </row>
    <row r="79" spans="2:16"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2407</v>
      </c>
    </row>
    <row r="80" spans="2:16" hidden="1">
      <c r="B80" s="2312"/>
      <c r="C80" s="2074"/>
      <c r="D80" s="2074" t="s">
        <v>690</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2404</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2404</v>
      </c>
    </row>
    <row r="82" spans="2:16"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2407</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2407</v>
      </c>
    </row>
    <row r="84" spans="2:16"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2407</v>
      </c>
    </row>
    <row r="85" spans="2:16"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2407</v>
      </c>
    </row>
    <row r="86" spans="2:16" hidden="1">
      <c r="B86" s="2312"/>
      <c r="C86" s="2074"/>
      <c r="D86" s="2074" t="s">
        <v>2089</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2404</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2404</v>
      </c>
    </row>
    <row r="88" spans="2:16"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2407</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2407</v>
      </c>
    </row>
    <row r="90" spans="2:16"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2407</v>
      </c>
    </row>
    <row r="91" spans="2:16"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2407</v>
      </c>
    </row>
    <row r="92" spans="2:16" hidden="1">
      <c r="B92" s="2301"/>
      <c r="C92" s="2072"/>
      <c r="D92" s="2072"/>
      <c r="E92" s="2072"/>
      <c r="F92" s="2072"/>
      <c r="G92" s="2072"/>
      <c r="H92" s="2072"/>
      <c r="I92" s="2072"/>
      <c r="J92" s="2072"/>
      <c r="K92" s="2072"/>
      <c r="L92" s="2072"/>
      <c r="M92" s="2072"/>
      <c r="N92" s="2072"/>
      <c r="O92" s="2201"/>
    </row>
    <row r="93" spans="2:16" hidden="1">
      <c r="B93" s="2312"/>
      <c r="C93" s="2074" t="s">
        <v>1956</v>
      </c>
      <c r="D93" s="2074" t="s">
        <v>480</v>
      </c>
      <c r="E93" s="2074"/>
      <c r="F93" s="2072"/>
      <c r="G93" s="2072"/>
      <c r="H93" s="2072"/>
      <c r="I93" s="2072"/>
      <c r="J93" s="2072"/>
      <c r="K93" s="2316"/>
      <c r="L93" s="2319">
        <f t="shared" ref="L93:L98" si="12">$F38*L38+$F44*L44+$F50*L50+$F56*L56+$F62*L62+$F68*L68+$F74*L74+$F80*L80+$F86*L86</f>
        <v>0.69599999999999995</v>
      </c>
      <c r="M93" s="2316"/>
      <c r="N93" s="2320"/>
      <c r="O93" s="2319">
        <f t="shared" ref="O93:O98" si="13">$F38*O38+$F44*O44+$F50*O50+$F56*O56+$F62*O62+$F68*O68+$F74*O74+$F80*O80+$F86*O86</f>
        <v>0.69599999999999995</v>
      </c>
      <c r="P93" t="s">
        <v>2404</v>
      </c>
    </row>
    <row r="94" spans="2:16" hidden="1">
      <c r="B94" s="2312"/>
      <c r="C94" s="2074"/>
      <c r="D94" s="2074"/>
      <c r="E94" s="2074"/>
      <c r="F94" s="2072"/>
      <c r="G94" s="2072"/>
      <c r="H94" s="2072"/>
      <c r="I94" s="2072"/>
      <c r="J94" s="2072"/>
      <c r="K94" s="2316"/>
      <c r="L94" s="2321">
        <f t="shared" si="12"/>
        <v>0</v>
      </c>
      <c r="M94" s="2316"/>
      <c r="N94" s="2320"/>
      <c r="O94" s="2321">
        <f t="shared" si="13"/>
        <v>0</v>
      </c>
      <c r="P94" t="s">
        <v>2404</v>
      </c>
    </row>
    <row r="95" spans="2:16" hidden="1">
      <c r="B95" s="2312"/>
      <c r="C95" s="2074"/>
      <c r="D95" s="2074"/>
      <c r="E95" s="2074"/>
      <c r="F95" s="2072"/>
      <c r="G95" s="2072"/>
      <c r="H95" s="2072"/>
      <c r="I95" s="2072"/>
      <c r="J95" s="2072"/>
      <c r="K95" s="2316"/>
      <c r="L95" s="2321">
        <f t="shared" si="12"/>
        <v>0.1</v>
      </c>
      <c r="M95" s="2316"/>
      <c r="N95" s="2320"/>
      <c r="O95" s="2321">
        <f t="shared" si="13"/>
        <v>0.1</v>
      </c>
      <c r="P95" t="s">
        <v>2407</v>
      </c>
    </row>
    <row r="96" spans="2:16" hidden="1">
      <c r="B96" s="2312"/>
      <c r="C96" s="2074"/>
      <c r="D96" s="2074"/>
      <c r="E96" s="2074"/>
      <c r="F96" s="2072"/>
      <c r="G96" s="2072"/>
      <c r="H96" s="2072"/>
      <c r="I96" s="2072"/>
      <c r="J96" s="2072"/>
      <c r="K96" s="2316"/>
      <c r="L96" s="2321">
        <f t="shared" si="12"/>
        <v>0</v>
      </c>
      <c r="M96" s="2316"/>
      <c r="N96" s="2320"/>
      <c r="O96" s="2321">
        <f t="shared" si="13"/>
        <v>0</v>
      </c>
      <c r="P96" t="s">
        <v>2407</v>
      </c>
    </row>
    <row r="97" spans="2:16" hidden="1">
      <c r="B97" s="2312"/>
      <c r="C97" s="2074"/>
      <c r="D97" s="2074"/>
      <c r="E97" s="2074"/>
      <c r="F97" s="2072"/>
      <c r="G97" s="2072"/>
      <c r="H97" s="2072"/>
      <c r="I97" s="2072"/>
      <c r="J97" s="2072"/>
      <c r="K97" s="2316"/>
      <c r="L97" s="2321">
        <f t="shared" si="12"/>
        <v>7.8E-2</v>
      </c>
      <c r="M97" s="2316"/>
      <c r="N97" s="2320"/>
      <c r="O97" s="2321">
        <f t="shared" si="13"/>
        <v>7.8E-2</v>
      </c>
      <c r="P97" t="s">
        <v>2407</v>
      </c>
    </row>
    <row r="98" spans="2:16" ht="14.25" hidden="1" thickBot="1">
      <c r="B98" s="2312"/>
      <c r="C98" s="2074"/>
      <c r="D98" s="2074"/>
      <c r="E98" s="2074"/>
      <c r="F98" s="2072"/>
      <c r="G98" s="2072"/>
      <c r="H98" s="2072"/>
      <c r="I98" s="2072"/>
      <c r="J98" s="2072"/>
      <c r="K98" s="2316"/>
      <c r="L98" s="2322">
        <f t="shared" si="12"/>
        <v>8.0000000000000002E-3</v>
      </c>
      <c r="M98" s="2316"/>
      <c r="N98" s="2320"/>
      <c r="O98" s="2322">
        <f t="shared" si="13"/>
        <v>8.0000000000000002E-3</v>
      </c>
      <c r="P98" t="s">
        <v>2407</v>
      </c>
    </row>
    <row r="99" spans="2:16" hidden="1">
      <c r="B99" s="2301"/>
      <c r="C99" s="2072"/>
      <c r="D99" s="2072"/>
      <c r="E99" s="2072"/>
      <c r="F99" s="2072"/>
      <c r="G99" s="2072"/>
      <c r="H99" s="2072"/>
      <c r="I99" s="2072"/>
      <c r="J99" s="2072"/>
      <c r="K99" s="2072"/>
      <c r="L99" s="2072"/>
      <c r="M99" s="2072"/>
      <c r="N99" s="2072"/>
      <c r="O99" s="2201"/>
    </row>
    <row r="100" spans="2:16" ht="16.5">
      <c r="B100" s="851" t="s">
        <v>1957</v>
      </c>
      <c r="C100" s="860"/>
      <c r="D100" s="862"/>
      <c r="E100" s="860"/>
      <c r="F100" s="2072"/>
      <c r="G100" s="2072"/>
      <c r="H100" s="852"/>
      <c r="I100" s="853"/>
      <c r="J100" s="853"/>
      <c r="K100" s="853"/>
      <c r="L100" s="853"/>
      <c r="M100" s="853"/>
      <c r="N100" s="853"/>
      <c r="O100" s="864"/>
    </row>
    <row r="101" spans="2:16" ht="14.25">
      <c r="B101" s="851"/>
      <c r="C101" s="855" t="s">
        <v>1958</v>
      </c>
      <c r="D101" s="862"/>
      <c r="E101" s="860"/>
      <c r="F101" s="2072"/>
      <c r="G101" s="2072"/>
      <c r="H101" s="852"/>
      <c r="I101" s="853"/>
      <c r="J101" s="852" t="s">
        <v>1952</v>
      </c>
      <c r="K101" s="853"/>
      <c r="L101" s="852" t="s">
        <v>1952</v>
      </c>
      <c r="M101" s="853"/>
      <c r="N101" s="853"/>
      <c r="O101" s="854" t="s">
        <v>1952</v>
      </c>
    </row>
    <row r="102" spans="2:16">
      <c r="B102" s="2071"/>
      <c r="C102" s="862"/>
      <c r="D102" s="862" t="s">
        <v>332</v>
      </c>
      <c r="E102" s="860"/>
      <c r="F102" s="2287" t="s">
        <v>1642</v>
      </c>
      <c r="G102" s="860"/>
      <c r="H102" s="857" t="s">
        <v>1643</v>
      </c>
      <c r="I102" s="857" t="s">
        <v>1644</v>
      </c>
      <c r="J102" s="857" t="s">
        <v>1645</v>
      </c>
      <c r="K102" s="858" t="s">
        <v>330</v>
      </c>
      <c r="L102" s="859" t="s">
        <v>331</v>
      </c>
      <c r="M102" s="860"/>
      <c r="N102" s="858" t="s">
        <v>330</v>
      </c>
      <c r="O102" s="861" t="s">
        <v>331</v>
      </c>
    </row>
    <row r="103" spans="2:16">
      <c r="B103" s="2071"/>
      <c r="C103" s="862"/>
      <c r="D103" s="862"/>
      <c r="E103" s="862" t="s">
        <v>462</v>
      </c>
      <c r="F103" s="2288">
        <f t="shared" ref="F103:F111" si="14">F10</f>
        <v>1</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c r="B104" s="2071"/>
      <c r="C104" s="860"/>
      <c r="D104" s="862"/>
      <c r="E104" s="862" t="s">
        <v>464</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c r="B105" s="2071"/>
      <c r="C105" s="860"/>
      <c r="D105" s="2072"/>
      <c r="E105" s="862" t="s">
        <v>466</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c r="B106" s="2071"/>
      <c r="C106" s="860"/>
      <c r="D106" s="862"/>
      <c r="E106" s="862" t="s">
        <v>468</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c r="B107" s="2071"/>
      <c r="C107" s="2072"/>
      <c r="D107" s="2072"/>
      <c r="E107" s="2077" t="s">
        <v>1973</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c r="B108" s="2071"/>
      <c r="C108" s="2072"/>
      <c r="D108" s="2072"/>
      <c r="E108" s="2077" t="s">
        <v>478</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c r="B109" s="2071"/>
      <c r="C109" s="2072"/>
      <c r="D109" s="2072"/>
      <c r="E109" s="2077" t="s">
        <v>472</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c r="B110" s="2071"/>
      <c r="C110" s="2072"/>
      <c r="D110" s="2072"/>
      <c r="E110" s="2077" t="s">
        <v>333</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c r="B111" s="2071"/>
      <c r="C111" s="2072"/>
      <c r="D111" s="2072"/>
      <c r="E111" s="2077" t="s">
        <v>476</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4.25" thickBot="1">
      <c r="B112" s="2071"/>
      <c r="C112" s="2072"/>
      <c r="D112" s="2072"/>
      <c r="E112" s="2072"/>
      <c r="F112" s="2072"/>
      <c r="G112" s="2072"/>
      <c r="H112" s="2072"/>
      <c r="I112" s="2072"/>
      <c r="J112" s="2072"/>
      <c r="K112" s="2072"/>
      <c r="L112" s="2072"/>
      <c r="M112" s="2072"/>
      <c r="N112" s="2072"/>
      <c r="O112" s="2201"/>
    </row>
    <row r="113" spans="2:18" ht="14.25" thickBot="1">
      <c r="B113" s="2301"/>
      <c r="C113" s="855" t="s">
        <v>2090</v>
      </c>
      <c r="D113" s="862"/>
      <c r="E113" s="2077"/>
      <c r="F113" s="2072"/>
      <c r="G113" s="2072"/>
      <c r="H113" s="2072"/>
      <c r="I113" s="2072"/>
      <c r="J113" s="2072"/>
      <c r="K113" s="2072"/>
      <c r="L113" s="2304">
        <f>SUMPRODUCT(F103:F111,L103:L111)</f>
        <v>16.21</v>
      </c>
      <c r="M113" s="2072"/>
      <c r="N113" s="2072"/>
      <c r="O113" s="2304">
        <f>SUMPRODUCT(F103:F111,O103:O111)</f>
        <v>16.21</v>
      </c>
    </row>
    <row r="114" spans="2:18">
      <c r="B114" s="2071"/>
      <c r="C114" s="2072"/>
      <c r="D114" s="2072"/>
      <c r="E114" s="2072"/>
      <c r="F114" s="2072"/>
      <c r="G114" s="2072"/>
      <c r="H114" s="2072"/>
      <c r="I114" s="2072"/>
      <c r="J114" s="2072"/>
      <c r="K114" s="2072"/>
      <c r="L114" s="2072"/>
      <c r="M114" s="2072"/>
      <c r="N114" s="2072"/>
      <c r="O114" s="2201"/>
    </row>
    <row r="115" spans="2:18" ht="17.25" thickBot="1">
      <c r="B115" s="851" t="s">
        <v>1959</v>
      </c>
      <c r="C115" s="2072"/>
      <c r="D115" s="2072"/>
      <c r="E115" s="2072"/>
      <c r="F115" s="2072"/>
      <c r="G115" s="2072"/>
      <c r="H115" s="2072"/>
      <c r="I115" s="2072"/>
      <c r="J115" s="2072"/>
      <c r="K115" s="2072"/>
      <c r="L115" s="852" t="s">
        <v>1952</v>
      </c>
      <c r="M115" s="860"/>
      <c r="N115" s="860"/>
      <c r="O115" s="854" t="s">
        <v>1952</v>
      </c>
      <c r="R115" t="s">
        <v>1960</v>
      </c>
    </row>
    <row r="116" spans="2:18" ht="14.25" thickBot="1">
      <c r="B116" s="851"/>
      <c r="C116" s="855" t="s">
        <v>2091</v>
      </c>
      <c r="D116" s="2072"/>
      <c r="E116" s="2072"/>
      <c r="F116" s="2072" t="s">
        <v>427</v>
      </c>
      <c r="G116" s="2072"/>
      <c r="H116" s="2072" t="s">
        <v>1769</v>
      </c>
      <c r="I116" s="2072"/>
      <c r="J116" s="2072" t="s">
        <v>2344</v>
      </c>
      <c r="K116" s="2072"/>
      <c r="L116" s="865" t="e">
        <f>SUM(L118:L121)</f>
        <v>#VALUE!</v>
      </c>
      <c r="M116" s="860"/>
      <c r="N116" s="866" t="s">
        <v>2092</v>
      </c>
      <c r="O116" s="865" t="e">
        <f>SUM(O118:O121)</f>
        <v>#VALUE!</v>
      </c>
    </row>
    <row r="117" spans="2:18">
      <c r="B117" s="851"/>
      <c r="C117" s="855"/>
      <c r="D117" s="2072"/>
      <c r="E117" s="2072"/>
      <c r="F117" s="2323" t="s">
        <v>2936</v>
      </c>
      <c r="G117" s="2072"/>
      <c r="H117" s="848" t="s">
        <v>1771</v>
      </c>
      <c r="I117" s="848" t="s">
        <v>1770</v>
      </c>
      <c r="J117" s="862" t="s">
        <v>1767</v>
      </c>
      <c r="K117" s="2072"/>
      <c r="L117" s="867"/>
      <c r="M117" s="860"/>
      <c r="N117" s="866"/>
      <c r="O117" s="2085"/>
    </row>
    <row r="118" spans="2:18">
      <c r="B118" s="851"/>
      <c r="C118" s="855"/>
      <c r="D118" s="2072"/>
      <c r="E118" s="2072" t="s">
        <v>655</v>
      </c>
      <c r="F118" s="2324">
        <f>計画書!H113</f>
        <v>30000</v>
      </c>
      <c r="G118" s="2072"/>
      <c r="H118" s="2324">
        <f>計画書!P93</f>
        <v>66900</v>
      </c>
      <c r="I118" s="2324" t="e">
        <f>計画書!N93</f>
        <v>#VALUE!</v>
      </c>
      <c r="J118" s="2214" t="e">
        <f>計画書!L113</f>
        <v>#VALUE!</v>
      </c>
      <c r="K118" s="2072"/>
      <c r="L118" s="2127" t="e">
        <f>IF(F118=0,0,I118*J118/F122*1000)</f>
        <v>#VALUE!</v>
      </c>
      <c r="M118" s="860"/>
      <c r="N118" s="866"/>
      <c r="O118" s="2325" t="e">
        <f>IF(F118=0,0,H118*J118/F122*1000)</f>
        <v>#VALUE!</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722</v>
      </c>
      <c r="F120" s="2324">
        <f>メイン!E64</f>
        <v>0</v>
      </c>
      <c r="G120" s="2072"/>
      <c r="H120" s="2324" t="e">
        <f>計画書!P125</f>
        <v>#N/A</v>
      </c>
      <c r="I120" s="2324" t="e">
        <f>計画書!N125</f>
        <v>#N/A</v>
      </c>
      <c r="J120" s="2214" t="e">
        <f>CO2データ!R207</f>
        <v>#VALUE!</v>
      </c>
      <c r="K120" s="2072"/>
      <c r="L120" s="2127">
        <f>IF(F120=0,0,I120*J120/F122*1000)</f>
        <v>0</v>
      </c>
      <c r="M120" s="860"/>
      <c r="N120" s="866"/>
      <c r="O120" s="2325">
        <f>IF(F120=0,0,H120*J120/F122*1000)</f>
        <v>0</v>
      </c>
    </row>
    <row r="121" spans="2:18">
      <c r="B121" s="851"/>
      <c r="C121" s="855"/>
      <c r="D121" s="2072"/>
      <c r="E121" s="2072" t="s">
        <v>1768</v>
      </c>
      <c r="F121" s="2324">
        <f>メイン!E65</f>
        <v>0</v>
      </c>
      <c r="G121" s="2072"/>
      <c r="H121" s="2324">
        <f>計画書!P128</f>
        <v>0</v>
      </c>
      <c r="I121" s="2324">
        <f>IF(計画書!N128="-",0,計画書!N128)</f>
        <v>0</v>
      </c>
      <c r="J121" s="2214" t="e">
        <f>CO2データ!R208</f>
        <v>#VALUE!</v>
      </c>
      <c r="K121" s="2072"/>
      <c r="L121" s="2127">
        <f>IF(F121=0,0,I121*J121/F122*1000)</f>
        <v>0</v>
      </c>
      <c r="M121" s="860"/>
      <c r="N121" s="866"/>
      <c r="O121" s="2325">
        <f>IF(F121=0,0,H121*J121/F122*1000)</f>
        <v>0</v>
      </c>
    </row>
    <row r="122" spans="2:18" ht="14.25" thickBot="1">
      <c r="B122" s="851"/>
      <c r="C122" s="2072"/>
      <c r="D122" s="2072"/>
      <c r="E122" s="2076" t="s">
        <v>3559</v>
      </c>
      <c r="F122" s="2324">
        <f>SUM(F118:F121)</f>
        <v>30000</v>
      </c>
      <c r="G122" s="2072"/>
      <c r="H122" s="2072"/>
      <c r="I122" s="2072"/>
      <c r="J122" s="2072"/>
      <c r="K122" s="2072"/>
      <c r="L122" s="852"/>
      <c r="M122" s="860"/>
      <c r="N122" s="860"/>
      <c r="O122" s="854"/>
    </row>
    <row r="123" spans="2:18" ht="14.25" thickBot="1">
      <c r="B123" s="2071"/>
      <c r="C123" s="855" t="s">
        <v>2093</v>
      </c>
      <c r="D123" s="2072"/>
      <c r="E123" s="2072"/>
      <c r="F123" s="2072" t="s">
        <v>427</v>
      </c>
      <c r="G123" s="2072"/>
      <c r="H123" s="2072" t="s">
        <v>1769</v>
      </c>
      <c r="I123" s="2072"/>
      <c r="J123" s="2072" t="s">
        <v>2344</v>
      </c>
      <c r="K123" s="2072"/>
      <c r="L123" s="865" t="e">
        <f>SUM(L125:L127)</f>
        <v>#VALUE!</v>
      </c>
      <c r="M123" s="2072"/>
      <c r="N123" s="2072"/>
      <c r="O123" s="2201"/>
    </row>
    <row r="124" spans="2:18">
      <c r="B124" s="2071"/>
      <c r="C124" s="855"/>
      <c r="D124" s="2072"/>
      <c r="E124" s="2072"/>
      <c r="F124" s="2076" t="s">
        <v>2354</v>
      </c>
      <c r="G124" s="2072"/>
      <c r="H124" s="2326" t="s">
        <v>136</v>
      </c>
      <c r="I124" s="848" t="s">
        <v>1772</v>
      </c>
      <c r="J124" s="862" t="s">
        <v>1767</v>
      </c>
      <c r="K124" s="2072"/>
      <c r="L124" s="2072"/>
      <c r="M124" s="2072"/>
      <c r="N124" s="2072"/>
      <c r="O124" s="2201"/>
    </row>
    <row r="125" spans="2:18">
      <c r="B125" s="2071"/>
      <c r="C125" s="855"/>
      <c r="D125" s="2072"/>
      <c r="E125" s="2072" t="s">
        <v>655</v>
      </c>
      <c r="F125" s="2324">
        <f>F118</f>
        <v>30000</v>
      </c>
      <c r="G125" s="2072"/>
      <c r="H125" s="2324">
        <f>計画書!J84</f>
        <v>0</v>
      </c>
      <c r="I125" s="2324" t="e">
        <f>I118-H125</f>
        <v>#VALUE!</v>
      </c>
      <c r="J125" s="2214" t="e">
        <f>J118</f>
        <v>#VALUE!</v>
      </c>
      <c r="K125" s="2072"/>
      <c r="L125" s="2127" t="e">
        <f>IF(F125=0,0,I125*J125/F128*1000)</f>
        <v>#VALUE!</v>
      </c>
      <c r="M125" s="2072"/>
      <c r="N125" s="2072"/>
      <c r="O125" s="2201"/>
    </row>
    <row r="126" spans="2:18">
      <c r="B126" s="2071"/>
      <c r="C126" s="855"/>
      <c r="D126" s="2072"/>
      <c r="E126" s="2424" t="s">
        <v>3310</v>
      </c>
      <c r="F126" s="2324">
        <f>F120</f>
        <v>0</v>
      </c>
      <c r="G126" s="2072"/>
      <c r="H126" s="2324">
        <f>IF(計画書!F62=計画書!S59,計画書!K84,0)</f>
        <v>0</v>
      </c>
      <c r="I126" s="2324" t="e">
        <f>I120-H126</f>
        <v>#N/A</v>
      </c>
      <c r="J126" s="2214" t="e">
        <f>J120</f>
        <v>#VALUE!</v>
      </c>
      <c r="K126" s="2072"/>
      <c r="L126" s="2127">
        <f>IF(F126=0,0,I126*J126/F128*1000)</f>
        <v>0</v>
      </c>
      <c r="M126" s="2072"/>
      <c r="N126" s="2072"/>
      <c r="O126" s="2201"/>
    </row>
    <row r="127" spans="2:18">
      <c r="B127" s="2071"/>
      <c r="C127" s="855"/>
      <c r="D127" s="2072"/>
      <c r="E127" s="2072" t="s">
        <v>1768</v>
      </c>
      <c r="F127" s="2324">
        <f>F121</f>
        <v>0</v>
      </c>
      <c r="G127" s="2072"/>
      <c r="H127" s="2324">
        <f>計画書!L84</f>
        <v>0</v>
      </c>
      <c r="I127" s="2324">
        <f>I121-H127</f>
        <v>0</v>
      </c>
      <c r="J127" s="2214" t="e">
        <f>J121</f>
        <v>#VALUE!</v>
      </c>
      <c r="K127" s="2072"/>
      <c r="L127" s="2127">
        <f>IF(F127=0,0,I127*J127/F128*1000)</f>
        <v>0</v>
      </c>
      <c r="M127" s="2072"/>
      <c r="N127" s="2072"/>
      <c r="O127" s="2201"/>
    </row>
    <row r="128" spans="2:18">
      <c r="B128" s="2071"/>
      <c r="C128" s="855"/>
      <c r="D128" s="2072"/>
      <c r="E128" s="3056" t="s">
        <v>3311</v>
      </c>
      <c r="F128" s="2324">
        <f>SUM(F124:F127)</f>
        <v>30000</v>
      </c>
      <c r="G128" s="2072"/>
      <c r="H128" s="2072"/>
      <c r="I128" s="2072"/>
      <c r="J128" s="2072"/>
      <c r="K128" s="2072"/>
      <c r="L128" s="2072"/>
      <c r="M128" s="2072"/>
      <c r="N128" s="2072"/>
      <c r="O128" s="2201"/>
    </row>
    <row r="129" spans="2:15" hidden="1">
      <c r="B129" s="2071"/>
      <c r="C129" s="855"/>
      <c r="D129" s="2072"/>
      <c r="E129" s="2072"/>
      <c r="F129" s="2072" t="s">
        <v>2170</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5">
      <c r="B131" s="851" t="s">
        <v>1961</v>
      </c>
      <c r="C131" s="860"/>
      <c r="D131" s="862"/>
      <c r="E131" s="860"/>
      <c r="F131" s="853"/>
      <c r="G131" s="860"/>
      <c r="H131" s="860"/>
      <c r="I131" s="860"/>
      <c r="J131" s="860"/>
      <c r="K131" s="2327"/>
      <c r="L131" s="852" t="s">
        <v>1952</v>
      </c>
      <c r="M131" s="860"/>
      <c r="N131" s="860"/>
      <c r="O131" s="854" t="s">
        <v>1952</v>
      </c>
    </row>
    <row r="132" spans="2:15">
      <c r="B132" s="2075"/>
      <c r="C132" s="860"/>
      <c r="D132" s="862"/>
      <c r="E132" s="860"/>
      <c r="F132" s="853"/>
      <c r="G132" s="860"/>
      <c r="H132" s="860"/>
      <c r="I132" s="860"/>
      <c r="J132" s="860"/>
      <c r="K132" s="2327"/>
      <c r="L132" s="859" t="s">
        <v>331</v>
      </c>
      <c r="M132" s="860"/>
      <c r="N132" s="870"/>
      <c r="O132" s="861" t="s">
        <v>331</v>
      </c>
    </row>
    <row r="133" spans="2:15">
      <c r="B133" s="2075"/>
      <c r="C133" s="871" t="s">
        <v>726</v>
      </c>
      <c r="D133" s="872"/>
      <c r="E133" s="872"/>
      <c r="F133" s="873"/>
      <c r="G133" s="860"/>
      <c r="H133" s="860"/>
      <c r="I133" s="860"/>
      <c r="J133" s="860"/>
      <c r="K133" s="2327"/>
      <c r="L133" s="874">
        <f>L24</f>
        <v>13.998000000000001</v>
      </c>
      <c r="M133" s="860"/>
      <c r="N133" s="860"/>
      <c r="O133" s="875">
        <f>O24</f>
        <v>13.998000000000001</v>
      </c>
    </row>
    <row r="134" spans="2:15">
      <c r="B134" s="2075"/>
      <c r="C134" s="871" t="s">
        <v>2171</v>
      </c>
      <c r="D134" s="872"/>
      <c r="E134" s="872"/>
      <c r="F134" s="873"/>
      <c r="G134" s="860"/>
      <c r="H134" s="860"/>
      <c r="I134" s="860"/>
      <c r="J134" s="860"/>
      <c r="K134" s="2327"/>
      <c r="L134" s="874">
        <f>L113</f>
        <v>16.21</v>
      </c>
      <c r="M134" s="860"/>
      <c r="N134" s="860"/>
      <c r="O134" s="875">
        <f>O113</f>
        <v>16.21</v>
      </c>
    </row>
    <row r="135" spans="2:15">
      <c r="B135" s="2075"/>
      <c r="C135" s="871" t="s">
        <v>728</v>
      </c>
      <c r="D135" s="872"/>
      <c r="E135" s="872"/>
      <c r="F135" s="873"/>
      <c r="G135" s="860"/>
      <c r="H135" s="860"/>
      <c r="I135" s="860"/>
      <c r="J135" s="860"/>
      <c r="K135" s="2327"/>
      <c r="L135" s="876" t="e">
        <f>L123</f>
        <v>#VALUE!</v>
      </c>
      <c r="M135" s="860"/>
      <c r="N135" s="860"/>
      <c r="O135" s="877" t="e">
        <f>O116</f>
        <v>#VALUE!</v>
      </c>
    </row>
    <row r="136" spans="2:15" ht="14.25" thickBot="1">
      <c r="B136" s="2205"/>
      <c r="C136" s="878" t="s">
        <v>480</v>
      </c>
      <c r="D136" s="879"/>
      <c r="E136" s="880"/>
      <c r="F136" s="881"/>
      <c r="G136" s="2206"/>
      <c r="H136" s="2206"/>
      <c r="I136" s="2206"/>
      <c r="J136" s="2206"/>
      <c r="K136" s="2206"/>
      <c r="L136" s="882" t="e">
        <f>IF(COUNTIF(L133:L135,$R$115)&gt;0,$R$115,SUM(L133:L135))</f>
        <v>#VALUE!</v>
      </c>
      <c r="M136" s="883"/>
      <c r="N136" s="883"/>
      <c r="O136" s="884"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5plM3AJR0lJdWy8XHFlIABcYAciynhXbF1/gci8UdYfSSXpRrMSBtO+U4G2v/vMvbaSM1+mWLTWQdxKo5QordA==" saltValue="ouMPNLo08msgfmCgjibJMw==" spinCount="100000"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C6" sqref="C6"/>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6" t="s">
        <v>527</v>
      </c>
      <c r="C2" s="1707"/>
      <c r="D2" s="1707"/>
      <c r="E2" s="1376" t="s">
        <v>2697</v>
      </c>
      <c r="F2" s="1377" t="str">
        <f>メイン!C11</f>
        <v>○○ビル</v>
      </c>
    </row>
    <row r="3" spans="2:6" ht="16.5" customHeight="1">
      <c r="F3" s="1708" t="str">
        <f>メイン!C5</f>
        <v>CASBEE-BD_NC_2016(v3.0)</v>
      </c>
    </row>
    <row r="4" spans="2:6">
      <c r="B4" s="3882" t="s">
        <v>2160</v>
      </c>
      <c r="C4" s="3883"/>
      <c r="D4" s="1709" t="s">
        <v>2619</v>
      </c>
      <c r="E4" s="1710" t="s">
        <v>2395</v>
      </c>
      <c r="F4" s="1710" t="s">
        <v>1325</v>
      </c>
    </row>
    <row r="5" spans="2:6" ht="35.25" customHeight="1">
      <c r="B5" s="3884" t="s">
        <v>2620</v>
      </c>
      <c r="C5" s="1710" t="s">
        <v>1816</v>
      </c>
      <c r="D5" s="1709" t="str">
        <f>メイン!C21</f>
        <v>事務所,</v>
      </c>
      <c r="E5" s="1709" t="str">
        <f>D5</f>
        <v>事務所,</v>
      </c>
      <c r="F5" s="1710"/>
    </row>
    <row r="6" spans="2:6">
      <c r="B6" s="3885"/>
      <c r="C6" s="1710" t="s">
        <v>2621</v>
      </c>
      <c r="D6" s="1712">
        <f>メイン!C19</f>
        <v>30000</v>
      </c>
      <c r="E6" s="1712">
        <f>D6</f>
        <v>30000</v>
      </c>
      <c r="F6" s="1703"/>
    </row>
    <row r="7" spans="2:6">
      <c r="B7" s="3886"/>
      <c r="C7" s="1710" t="s">
        <v>2622</v>
      </c>
      <c r="D7" s="1710">
        <f>メイン!C23</f>
        <v>0</v>
      </c>
      <c r="E7" s="1710">
        <f>D7</f>
        <v>0</v>
      </c>
      <c r="F7" s="1703"/>
    </row>
    <row r="8" spans="2:6" ht="31.5" customHeight="1">
      <c r="B8" s="1709" t="s">
        <v>2623</v>
      </c>
      <c r="C8" s="1714" t="s">
        <v>2624</v>
      </c>
      <c r="D8" s="1715" t="str">
        <f>CO2計算!O35</f>
        <v>事務所部分60年,</v>
      </c>
      <c r="E8" s="1715" t="str">
        <f>CO2計算!L35</f>
        <v>事務所部分60年,</v>
      </c>
      <c r="F8" s="1716"/>
    </row>
    <row r="9" spans="2:6" ht="19.5" customHeight="1">
      <c r="B9" s="1717"/>
      <c r="C9" s="1714" t="s">
        <v>331</v>
      </c>
      <c r="D9" s="1718">
        <f>CO2計算!O133</f>
        <v>13.998000000000001</v>
      </c>
      <c r="E9" s="1718">
        <f>CO2計算!L133</f>
        <v>13.998000000000001</v>
      </c>
      <c r="F9" s="1719" t="s">
        <v>2625</v>
      </c>
    </row>
    <row r="10" spans="2:6" ht="29.25" customHeight="1">
      <c r="B10" s="3879" t="s">
        <v>1609</v>
      </c>
      <c r="C10" s="1709" t="s">
        <v>1610</v>
      </c>
      <c r="D10" s="1720" t="s">
        <v>1359</v>
      </c>
      <c r="E10" s="1721" t="s">
        <v>1611</v>
      </c>
      <c r="F10" s="1703"/>
    </row>
    <row r="11" spans="2:6" ht="29.25" customHeight="1">
      <c r="B11" s="3879"/>
      <c r="C11" s="1709" t="s">
        <v>1612</v>
      </c>
      <c r="D11" s="1720" t="s">
        <v>1360</v>
      </c>
      <c r="E11" s="1722" t="s">
        <v>2605</v>
      </c>
      <c r="F11" s="1703"/>
    </row>
    <row r="12" spans="2:6">
      <c r="B12" s="3879"/>
      <c r="C12" s="1711" t="s">
        <v>528</v>
      </c>
      <c r="D12" s="1723" t="s">
        <v>2606</v>
      </c>
      <c r="E12" s="1724" t="s">
        <v>2605</v>
      </c>
      <c r="F12" s="1725"/>
    </row>
    <row r="13" spans="2:6">
      <c r="B13" s="3880"/>
      <c r="C13" s="1727" t="s">
        <v>2400</v>
      </c>
      <c r="D13" s="1728"/>
      <c r="E13" s="1729"/>
      <c r="F13" s="1730"/>
    </row>
    <row r="14" spans="2:6" ht="19.5" customHeight="1">
      <c r="B14" s="3879"/>
      <c r="C14" s="1731" t="s">
        <v>2403</v>
      </c>
      <c r="D14" s="1732">
        <f>CO2計算!O93</f>
        <v>0.69599999999999995</v>
      </c>
      <c r="E14" s="1733">
        <f>CO2計算!L93</f>
        <v>0.69599999999999995</v>
      </c>
      <c r="F14" s="1734" t="s">
        <v>529</v>
      </c>
    </row>
    <row r="15" spans="2:6" ht="14.25">
      <c r="B15" s="3879"/>
      <c r="C15" s="1735" t="s">
        <v>2405</v>
      </c>
      <c r="D15" s="1736">
        <f>CO2計算!O94</f>
        <v>0</v>
      </c>
      <c r="E15" s="1737">
        <f>CO2計算!L94</f>
        <v>0</v>
      </c>
      <c r="F15" s="1738" t="s">
        <v>529</v>
      </c>
    </row>
    <row r="16" spans="2:6">
      <c r="B16" s="3879"/>
      <c r="C16" s="1735" t="s">
        <v>2406</v>
      </c>
      <c r="D16" s="1736">
        <f>CO2計算!O95</f>
        <v>0.1</v>
      </c>
      <c r="E16" s="1737">
        <f>CO2計算!L95</f>
        <v>0.1</v>
      </c>
      <c r="F16" s="1739" t="s">
        <v>2407</v>
      </c>
    </row>
    <row r="17" spans="2:6">
      <c r="B17" s="3879"/>
      <c r="C17" s="1735" t="s">
        <v>2408</v>
      </c>
      <c r="D17" s="1736">
        <f>CO2計算!O96</f>
        <v>0</v>
      </c>
      <c r="E17" s="1737">
        <f>CO2計算!L96</f>
        <v>0</v>
      </c>
      <c r="F17" s="1739" t="s">
        <v>2407</v>
      </c>
    </row>
    <row r="18" spans="2:6">
      <c r="B18" s="3879"/>
      <c r="C18" s="1735" t="s">
        <v>2409</v>
      </c>
      <c r="D18" s="1736">
        <f>CO2計算!O97</f>
        <v>7.8E-2</v>
      </c>
      <c r="E18" s="1737">
        <f>CO2計算!L97</f>
        <v>7.8E-2</v>
      </c>
      <c r="F18" s="1739" t="s">
        <v>2407</v>
      </c>
    </row>
    <row r="19" spans="2:6">
      <c r="B19" s="3879"/>
      <c r="C19" s="1735" t="s">
        <v>2087</v>
      </c>
      <c r="D19" s="1736">
        <f>CO2計算!O98</f>
        <v>8.0000000000000002E-3</v>
      </c>
      <c r="E19" s="1737">
        <f>CO2計算!L98</f>
        <v>8.0000000000000002E-3</v>
      </c>
      <c r="F19" s="1739" t="s">
        <v>2407</v>
      </c>
    </row>
    <row r="20" spans="2:6">
      <c r="B20" s="3879"/>
      <c r="C20" s="1740" t="s">
        <v>530</v>
      </c>
      <c r="D20" s="1740" t="s">
        <v>531</v>
      </c>
      <c r="E20" s="1741" t="s">
        <v>1607</v>
      </c>
      <c r="F20" s="1742" t="s">
        <v>532</v>
      </c>
    </row>
    <row r="21" spans="2:6">
      <c r="B21" s="3880"/>
      <c r="C21" s="1727" t="s">
        <v>1608</v>
      </c>
      <c r="D21" s="1728"/>
      <c r="E21" s="1729"/>
      <c r="F21" s="1743"/>
    </row>
    <row r="22" spans="2:6" ht="15">
      <c r="B22" s="3879"/>
      <c r="C22" s="1731" t="s">
        <v>2403</v>
      </c>
      <c r="D22" s="1732">
        <v>266.70999999999998</v>
      </c>
      <c r="E22" s="1733" t="s">
        <v>1607</v>
      </c>
      <c r="F22" s="1738" t="s">
        <v>533</v>
      </c>
    </row>
    <row r="23" spans="2:6" ht="15">
      <c r="B23" s="3879"/>
      <c r="C23" s="1735" t="s">
        <v>2405</v>
      </c>
      <c r="D23" s="1736">
        <v>216.57</v>
      </c>
      <c r="E23" s="1737" t="s">
        <v>1607</v>
      </c>
      <c r="F23" s="1739" t="s">
        <v>533</v>
      </c>
    </row>
    <row r="24" spans="2:6">
      <c r="B24" s="3879"/>
      <c r="C24" s="1735" t="s">
        <v>2406</v>
      </c>
      <c r="D24" s="1736">
        <v>1.28</v>
      </c>
      <c r="E24" s="1737" t="s">
        <v>1607</v>
      </c>
      <c r="F24" s="1739" t="s">
        <v>3039</v>
      </c>
    </row>
    <row r="25" spans="2:6">
      <c r="B25" s="3879"/>
      <c r="C25" s="1735" t="s">
        <v>2408</v>
      </c>
      <c r="D25" s="1736" t="s">
        <v>3429</v>
      </c>
      <c r="E25" s="1737" t="s">
        <v>1607</v>
      </c>
      <c r="F25" s="1739" t="s">
        <v>3040</v>
      </c>
    </row>
    <row r="26" spans="2:6">
      <c r="B26" s="3879"/>
      <c r="C26" s="1735" t="s">
        <v>2409</v>
      </c>
      <c r="D26" s="1736">
        <v>0.51</v>
      </c>
      <c r="E26" s="1737" t="s">
        <v>1607</v>
      </c>
      <c r="F26" s="1739" t="s">
        <v>3039</v>
      </c>
    </row>
    <row r="27" spans="2:6">
      <c r="B27" s="3879"/>
      <c r="C27" s="1735" t="s">
        <v>292</v>
      </c>
      <c r="D27" s="1736">
        <v>4.75</v>
      </c>
      <c r="E27" s="1737" t="s">
        <v>1607</v>
      </c>
      <c r="F27" s="1739" t="s">
        <v>3041</v>
      </c>
    </row>
    <row r="28" spans="2:6">
      <c r="B28" s="3879"/>
      <c r="C28" s="1740" t="s">
        <v>530</v>
      </c>
      <c r="D28" s="1740" t="s">
        <v>531</v>
      </c>
      <c r="E28" s="1741" t="s">
        <v>3042</v>
      </c>
      <c r="F28" s="1739" t="s">
        <v>3039</v>
      </c>
    </row>
    <row r="29" spans="2:6" ht="14.25" thickBot="1">
      <c r="B29" s="3880"/>
      <c r="C29" s="1727" t="s">
        <v>293</v>
      </c>
      <c r="D29" s="1728"/>
      <c r="E29" s="1744"/>
      <c r="F29" s="1745"/>
    </row>
    <row r="30" spans="2:6" ht="29.25" customHeight="1">
      <c r="B30" s="3879"/>
      <c r="C30" s="1731" t="s">
        <v>294</v>
      </c>
      <c r="D30" s="1746">
        <v>0</v>
      </c>
      <c r="E30" s="1747">
        <v>0</v>
      </c>
      <c r="F30" s="1748"/>
    </row>
    <row r="31" spans="2:6" ht="29.25" customHeight="1" thickBot="1">
      <c r="B31" s="3879"/>
      <c r="C31" s="1731" t="s">
        <v>295</v>
      </c>
      <c r="D31" s="1746">
        <v>0</v>
      </c>
      <c r="E31" s="1749">
        <v>0</v>
      </c>
      <c r="F31" s="1750"/>
    </row>
    <row r="32" spans="2:6" ht="24" customHeight="1">
      <c r="B32" s="3879"/>
      <c r="C32" s="1735" t="s">
        <v>296</v>
      </c>
      <c r="D32" s="1746">
        <v>0</v>
      </c>
      <c r="E32" s="1746">
        <v>0</v>
      </c>
      <c r="F32" s="1751"/>
    </row>
    <row r="33" spans="2:6" ht="24" customHeight="1">
      <c r="B33" s="3879"/>
      <c r="C33" s="1752" t="s">
        <v>297</v>
      </c>
      <c r="D33" s="1753">
        <v>0</v>
      </c>
      <c r="E33" s="1753">
        <v>0</v>
      </c>
      <c r="F33" s="1754"/>
    </row>
    <row r="34" spans="2:6" ht="19.5" customHeight="1">
      <c r="B34" s="1711"/>
      <c r="C34" s="1755" t="s">
        <v>331</v>
      </c>
      <c r="D34" s="1756">
        <f>CO2計算!O134</f>
        <v>16.21</v>
      </c>
      <c r="E34" s="1757">
        <f>CO2計算!L134</f>
        <v>16.21</v>
      </c>
      <c r="F34" s="1719" t="s">
        <v>2625</v>
      </c>
    </row>
    <row r="35" spans="2:6">
      <c r="B35" s="1726" t="s">
        <v>535</v>
      </c>
      <c r="C35" s="1758" t="s">
        <v>298</v>
      </c>
      <c r="D35" s="1759"/>
      <c r="E35" s="1759"/>
      <c r="F35" s="1730"/>
    </row>
    <row r="36" spans="2:6">
      <c r="B36" s="1717" t="s">
        <v>536</v>
      </c>
      <c r="C36" s="1785" t="s">
        <v>2612</v>
      </c>
      <c r="D36" s="1761">
        <f>CO2データ!I308</f>
        <v>25</v>
      </c>
      <c r="E36" s="1761">
        <f>CO2データ!I308</f>
        <v>25</v>
      </c>
      <c r="F36" s="1754"/>
    </row>
    <row r="37" spans="2:6" ht="13.5" hidden="1" customHeight="1">
      <c r="B37" s="1717"/>
      <c r="C37" s="1735" t="s">
        <v>2614</v>
      </c>
      <c r="D37" s="1762"/>
      <c r="E37" s="1762"/>
      <c r="F37" s="1763"/>
    </row>
    <row r="38" spans="2:6">
      <c r="B38" s="1717"/>
      <c r="C38" s="1735" t="s">
        <v>2615</v>
      </c>
      <c r="D38" s="1762">
        <f>CO2データ!I310</f>
        <v>18</v>
      </c>
      <c r="E38" s="1762">
        <f>CO2データ!I310</f>
        <v>18</v>
      </c>
      <c r="F38" s="1763"/>
    </row>
    <row r="39" spans="2:6">
      <c r="B39" s="1717"/>
      <c r="C39" s="1752" t="s">
        <v>2616</v>
      </c>
      <c r="D39" s="1761">
        <f>CO2データ!I311</f>
        <v>15</v>
      </c>
      <c r="E39" s="1761">
        <f>CO2データ!I311</f>
        <v>15</v>
      </c>
      <c r="F39" s="1754"/>
    </row>
    <row r="40" spans="2:6">
      <c r="B40" s="1726"/>
      <c r="C40" s="1758" t="s">
        <v>299</v>
      </c>
      <c r="D40" s="1759"/>
      <c r="E40" s="1759"/>
      <c r="F40" s="1730"/>
    </row>
    <row r="41" spans="2:6">
      <c r="B41" s="1717"/>
      <c r="C41" s="1785" t="s">
        <v>2612</v>
      </c>
      <c r="D41" s="1764">
        <f>CO2データ!I314</f>
        <v>0.01</v>
      </c>
      <c r="E41" s="1764">
        <f>CO2データ!I314</f>
        <v>0.01</v>
      </c>
      <c r="F41" s="1765"/>
    </row>
    <row r="42" spans="2:6">
      <c r="B42" s="1717"/>
      <c r="C42" s="1735" t="s">
        <v>2615</v>
      </c>
      <c r="D42" s="1766">
        <f>CO2データ!I315</f>
        <v>0.01</v>
      </c>
      <c r="E42" s="1766">
        <f>CO2データ!I315</f>
        <v>0.01</v>
      </c>
      <c r="F42" s="1767"/>
    </row>
    <row r="43" spans="2:6">
      <c r="B43" s="1717"/>
      <c r="C43" s="1752" t="s">
        <v>2616</v>
      </c>
      <c r="D43" s="1768">
        <f>CO2データ!I316</f>
        <v>0.02</v>
      </c>
      <c r="E43" s="1768">
        <f>CO2データ!I316</f>
        <v>0.02</v>
      </c>
      <c r="F43" s="1769"/>
    </row>
    <row r="44" spans="2:6" ht="29.25" customHeight="1">
      <c r="B44" s="1770"/>
      <c r="C44" s="1714" t="s">
        <v>650</v>
      </c>
      <c r="D44" s="1720" t="s">
        <v>651</v>
      </c>
      <c r="E44" s="1709" t="s">
        <v>652</v>
      </c>
      <c r="F44" s="1703"/>
    </row>
    <row r="45" spans="2:6">
      <c r="B45" s="1711"/>
      <c r="C45" s="1758" t="s">
        <v>331</v>
      </c>
      <c r="D45" s="1728"/>
      <c r="E45" s="1771"/>
      <c r="F45" s="1772"/>
    </row>
    <row r="46" spans="2:6" ht="24" customHeight="1">
      <c r="B46" s="1717"/>
      <c r="C46" s="1709" t="s">
        <v>537</v>
      </c>
      <c r="D46" s="1718" t="e">
        <f>CO2計算!O135</f>
        <v>#VALUE!</v>
      </c>
      <c r="E46" s="1718" t="e">
        <f>CO2計算!L116</f>
        <v>#VALUE!</v>
      </c>
      <c r="F46" s="1719" t="s">
        <v>2625</v>
      </c>
    </row>
    <row r="47" spans="2:6" ht="24" customHeight="1">
      <c r="B47" s="1717"/>
      <c r="C47" s="1731" t="s">
        <v>538</v>
      </c>
      <c r="D47" s="1773" t="s">
        <v>539</v>
      </c>
      <c r="E47" s="1774" t="e">
        <f>CO2計算!L123</f>
        <v>#VALUE!</v>
      </c>
      <c r="F47" s="1738" t="s">
        <v>540</v>
      </c>
    </row>
    <row r="48" spans="2:6" ht="24" hidden="1" customHeight="1">
      <c r="B48" s="3879" t="s">
        <v>653</v>
      </c>
      <c r="C48" s="1740"/>
      <c r="D48" s="1775"/>
      <c r="E48" s="1776"/>
      <c r="F48" s="1777" t="s">
        <v>2625</v>
      </c>
    </row>
    <row r="49" spans="2:6" ht="24" hidden="1" customHeight="1">
      <c r="B49" s="3879"/>
      <c r="C49" s="1717"/>
      <c r="D49" s="1778"/>
      <c r="E49" s="1776"/>
      <c r="F49" s="1777" t="s">
        <v>541</v>
      </c>
    </row>
    <row r="50" spans="2:6" ht="24" hidden="1" customHeight="1">
      <c r="B50" s="3879"/>
      <c r="C50" s="1717"/>
      <c r="D50" s="1779"/>
      <c r="E50" s="1780" t="e">
        <f>'条件(個別)'!E80</f>
        <v>#VALUE!</v>
      </c>
      <c r="F50" s="1781" t="s">
        <v>542</v>
      </c>
    </row>
    <row r="51" spans="2:6" ht="24" hidden="1" customHeight="1">
      <c r="B51" s="3879"/>
      <c r="C51" s="1770"/>
      <c r="D51" s="1782" t="s">
        <v>1124</v>
      </c>
      <c r="E51" s="1783" t="s">
        <v>543</v>
      </c>
      <c r="F51" s="1784"/>
    </row>
    <row r="52" spans="2:6" ht="29.25" customHeight="1">
      <c r="B52" s="3880"/>
      <c r="C52" s="1785" t="s">
        <v>544</v>
      </c>
      <c r="D52" s="2223" t="s">
        <v>543</v>
      </c>
      <c r="E52" s="2224" t="e">
        <f>E47</f>
        <v>#VALUE!</v>
      </c>
      <c r="F52" s="1734" t="s">
        <v>545</v>
      </c>
    </row>
    <row r="53" spans="2:6" ht="30" customHeight="1">
      <c r="B53" s="3879"/>
      <c r="C53" s="1740" t="s">
        <v>654</v>
      </c>
      <c r="D53" s="1788" t="s">
        <v>546</v>
      </c>
      <c r="E53" s="1789" t="s">
        <v>539</v>
      </c>
      <c r="F53" s="1739"/>
    </row>
    <row r="54" spans="2:6" ht="27.75" customHeight="1">
      <c r="B54" s="3879"/>
      <c r="C54" s="1717"/>
      <c r="D54" s="1788" t="s">
        <v>547</v>
      </c>
      <c r="E54" s="1789" t="s">
        <v>539</v>
      </c>
      <c r="F54" s="1739"/>
    </row>
    <row r="55" spans="2:6" ht="24" customHeight="1">
      <c r="B55" s="3879"/>
      <c r="C55" s="1717"/>
      <c r="D55" s="1788" t="s">
        <v>548</v>
      </c>
      <c r="E55" s="1789" t="s">
        <v>539</v>
      </c>
      <c r="F55" s="1739"/>
    </row>
    <row r="56" spans="2:6" ht="29.25" customHeight="1">
      <c r="B56" s="1717"/>
      <c r="C56" s="1717"/>
      <c r="D56" s="1788" t="s">
        <v>549</v>
      </c>
      <c r="E56" s="1789" t="s">
        <v>539</v>
      </c>
      <c r="F56" s="1787"/>
    </row>
    <row r="57" spans="2:6" ht="24" hidden="1" customHeight="1">
      <c r="B57" s="1717"/>
      <c r="C57" s="1770"/>
      <c r="D57" s="1790"/>
      <c r="E57" s="1783" t="s">
        <v>539</v>
      </c>
      <c r="F57" s="1784"/>
    </row>
    <row r="58" spans="2:6" ht="29.25" customHeight="1">
      <c r="B58" s="3879"/>
      <c r="C58" s="1714" t="s">
        <v>1125</v>
      </c>
      <c r="D58" s="1720" t="s">
        <v>2685</v>
      </c>
      <c r="E58" s="1720" t="s">
        <v>2686</v>
      </c>
      <c r="F58" s="1703"/>
    </row>
    <row r="59" spans="2:6" ht="18.75" customHeight="1">
      <c r="B59" s="3879"/>
      <c r="C59" s="1755" t="s">
        <v>441</v>
      </c>
      <c r="D59" s="1791" t="e">
        <f>CO2計算!H118+CO2計算!H121+CO2計算!H120</f>
        <v>#N/A</v>
      </c>
      <c r="E59" s="1791" t="e">
        <f>CO2計算!I125+CO2計算!I127+CO2計算!I126</f>
        <v>#VALUE!</v>
      </c>
      <c r="F59" s="1792" t="s">
        <v>657</v>
      </c>
    </row>
    <row r="60" spans="2:6">
      <c r="B60" s="3880"/>
      <c r="C60" s="1793" t="s">
        <v>1027</v>
      </c>
      <c r="D60" s="1759"/>
      <c r="E60" s="1759"/>
      <c r="F60" s="1772"/>
    </row>
    <row r="61" spans="2:6">
      <c r="B61" s="3879"/>
      <c r="C61" s="1794" t="s">
        <v>2749</v>
      </c>
      <c r="D61" s="1795" t="e">
        <f>CO2計算!J118</f>
        <v>#VALUE!</v>
      </c>
      <c r="E61" s="1796" t="s">
        <v>652</v>
      </c>
      <c r="F61" s="1781" t="s">
        <v>180</v>
      </c>
    </row>
    <row r="62" spans="2:6">
      <c r="B62" s="3879"/>
      <c r="C62" s="1794" t="s">
        <v>2750</v>
      </c>
      <c r="D62" s="1795" t="e">
        <f>CO2計算!J120</f>
        <v>#VALUE!</v>
      </c>
      <c r="E62" s="1798" t="s">
        <v>652</v>
      </c>
      <c r="F62" s="1781" t="s">
        <v>180</v>
      </c>
    </row>
    <row r="63" spans="2:6">
      <c r="B63" s="3879"/>
      <c r="C63" s="1797" t="s">
        <v>2687</v>
      </c>
      <c r="D63" s="1798" t="e">
        <f>CO2データ!I95</f>
        <v>#VALUE!</v>
      </c>
      <c r="E63" s="1798" t="s">
        <v>652</v>
      </c>
      <c r="F63" s="1777" t="s">
        <v>3495</v>
      </c>
    </row>
    <row r="64" spans="2:6">
      <c r="B64" s="3879"/>
      <c r="C64" s="1797" t="s">
        <v>181</v>
      </c>
      <c r="D64" s="1798">
        <f>CO2データ!I97</f>
        <v>4.9799999999999997E-2</v>
      </c>
      <c r="E64" s="1798" t="s">
        <v>652</v>
      </c>
      <c r="F64" s="1781" t="s">
        <v>180</v>
      </c>
    </row>
    <row r="65" spans="2:6" ht="24">
      <c r="B65" s="3879"/>
      <c r="C65" s="1799" t="s">
        <v>2681</v>
      </c>
      <c r="D65" s="1800" t="s">
        <v>313</v>
      </c>
      <c r="E65" s="1800" t="s">
        <v>652</v>
      </c>
      <c r="F65" s="1801" t="s">
        <v>180</v>
      </c>
    </row>
    <row r="66" spans="2:6">
      <c r="B66" s="1717"/>
      <c r="C66" s="1802" t="s">
        <v>2682</v>
      </c>
      <c r="D66" s="1803"/>
      <c r="E66" s="1803"/>
      <c r="F66" s="1804"/>
    </row>
    <row r="67" spans="2:6">
      <c r="B67" s="1717"/>
      <c r="C67" s="1760"/>
      <c r="D67" s="1713"/>
      <c r="E67" s="1713"/>
      <c r="F67" s="1769"/>
    </row>
    <row r="68" spans="2:6">
      <c r="B68" s="3881" t="s">
        <v>365</v>
      </c>
      <c r="C68" s="3876"/>
      <c r="D68" s="3876"/>
      <c r="E68" s="3876"/>
      <c r="F68" s="3876"/>
    </row>
    <row r="69" spans="2:6">
      <c r="B69" s="3881"/>
      <c r="C69" s="3877"/>
      <c r="D69" s="3877"/>
      <c r="E69" s="3877"/>
      <c r="F69" s="3877"/>
    </row>
    <row r="70" spans="2:6">
      <c r="B70" s="3881"/>
      <c r="C70" s="3877"/>
      <c r="D70" s="3877"/>
      <c r="E70" s="3877"/>
      <c r="F70" s="3877"/>
    </row>
    <row r="71" spans="2:6">
      <c r="B71" s="3881"/>
      <c r="C71" s="3878"/>
      <c r="D71" s="3878"/>
      <c r="E71" s="3878"/>
      <c r="F71" s="3878"/>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algorithmName="SHA-512" hashValue="q4godiIh1cumdEq54J8WyqxmPl09v0r8raajBYhYBq6I3D+xGUyW4eFkjcAZD06FaPqiraY9/imG154cbytQ4w==" saltValue="UzInGjllRToxfclTpsksNA==" spinCount="100000"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C6" sqref="C6"/>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6" t="s">
        <v>183</v>
      </c>
      <c r="C2" s="1707"/>
      <c r="D2" s="1707"/>
      <c r="E2" s="1376" t="s">
        <v>2697</v>
      </c>
      <c r="F2" s="1377" t="str">
        <f>メイン!C11</f>
        <v>○○ビル</v>
      </c>
    </row>
    <row r="3" spans="2:6" ht="15.75" customHeight="1">
      <c r="F3" s="1708" t="str">
        <f>メイン!C5</f>
        <v>CASBEE-BD_NC_2016(v3.0)</v>
      </c>
    </row>
    <row r="4" spans="2:6">
      <c r="B4" s="3882" t="s">
        <v>2160</v>
      </c>
      <c r="C4" s="3883"/>
      <c r="D4" s="1709" t="s">
        <v>2619</v>
      </c>
      <c r="E4" s="1710" t="s">
        <v>2395</v>
      </c>
      <c r="F4" s="1710" t="s">
        <v>1325</v>
      </c>
    </row>
    <row r="5" spans="2:6" ht="27" customHeight="1">
      <c r="B5" s="1711" t="s">
        <v>2620</v>
      </c>
      <c r="C5" s="1710" t="s">
        <v>1816</v>
      </c>
      <c r="D5" s="1709" t="str">
        <f>メイン!C21</f>
        <v>事務所,</v>
      </c>
      <c r="E5" s="1709" t="str">
        <f>D5</f>
        <v>事務所,</v>
      </c>
      <c r="F5" s="1805"/>
    </row>
    <row r="6" spans="2:6">
      <c r="B6" s="1765"/>
      <c r="C6" s="1710" t="s">
        <v>2621</v>
      </c>
      <c r="D6" s="1712">
        <f>メイン!C19</f>
        <v>30000</v>
      </c>
      <c r="E6" s="1712">
        <f>D6</f>
        <v>30000</v>
      </c>
      <c r="F6" s="1806"/>
    </row>
    <row r="7" spans="2:6">
      <c r="B7" s="1769"/>
      <c r="C7" s="1710" t="s">
        <v>2622</v>
      </c>
      <c r="D7" s="1710">
        <f>メイン!C23</f>
        <v>0</v>
      </c>
      <c r="E7" s="1710">
        <f>D7</f>
        <v>0</v>
      </c>
      <c r="F7" s="1806"/>
    </row>
    <row r="8" spans="2:6" ht="31.5" customHeight="1">
      <c r="B8" s="1709" t="s">
        <v>2623</v>
      </c>
      <c r="C8" s="1714" t="s">
        <v>2624</v>
      </c>
      <c r="D8" s="1807"/>
      <c r="E8" s="1807"/>
      <c r="F8" s="1808"/>
    </row>
    <row r="9" spans="2:6" ht="19.5" customHeight="1">
      <c r="B9" s="1717"/>
      <c r="C9" s="1714" t="s">
        <v>331</v>
      </c>
      <c r="D9" s="1809">
        <v>35</v>
      </c>
      <c r="E9" s="1809">
        <v>30</v>
      </c>
      <c r="F9" s="1808" t="s">
        <v>2625</v>
      </c>
    </row>
    <row r="10" spans="2:6" ht="29.25" customHeight="1">
      <c r="B10" s="3879" t="s">
        <v>1609</v>
      </c>
      <c r="C10" s="1709" t="s">
        <v>1610</v>
      </c>
      <c r="D10" s="1810"/>
      <c r="E10" s="1811"/>
      <c r="F10" s="1806"/>
    </row>
    <row r="11" spans="2:6" ht="29.25" customHeight="1">
      <c r="B11" s="3879"/>
      <c r="C11" s="1709" t="s">
        <v>1612</v>
      </c>
      <c r="D11" s="1810"/>
      <c r="E11" s="1812"/>
      <c r="F11" s="1806"/>
    </row>
    <row r="12" spans="2:6" ht="29.25" customHeight="1">
      <c r="B12" s="3879"/>
      <c r="C12" s="1709" t="s">
        <v>184</v>
      </c>
      <c r="D12" s="1810"/>
      <c r="E12" s="1812"/>
      <c r="F12" s="1808"/>
    </row>
    <row r="13" spans="2:6">
      <c r="B13" s="3879"/>
      <c r="C13" s="1727" t="s">
        <v>2400</v>
      </c>
      <c r="D13" s="1728"/>
      <c r="E13" s="1729"/>
      <c r="F13" s="1730"/>
    </row>
    <row r="14" spans="2:6" ht="14.25">
      <c r="B14" s="3879"/>
      <c r="C14" s="1785" t="s">
        <v>2403</v>
      </c>
      <c r="D14" s="1813" t="s">
        <v>185</v>
      </c>
      <c r="E14" s="1814" t="s">
        <v>186</v>
      </c>
      <c r="F14" s="1815" t="s">
        <v>529</v>
      </c>
    </row>
    <row r="15" spans="2:6" ht="14.25">
      <c r="B15" s="3879"/>
      <c r="C15" s="1816" t="s">
        <v>2405</v>
      </c>
      <c r="D15" s="1817" t="s">
        <v>187</v>
      </c>
      <c r="E15" s="1818" t="s">
        <v>1607</v>
      </c>
      <c r="F15" s="1819" t="s">
        <v>529</v>
      </c>
    </row>
    <row r="16" spans="2:6">
      <c r="B16" s="3879"/>
      <c r="C16" s="1735" t="s">
        <v>2406</v>
      </c>
      <c r="D16" s="1817" t="s">
        <v>531</v>
      </c>
      <c r="E16" s="1818" t="s">
        <v>1607</v>
      </c>
      <c r="F16" s="1820" t="s">
        <v>2407</v>
      </c>
    </row>
    <row r="17" spans="2:6">
      <c r="B17" s="3879"/>
      <c r="C17" s="1735" t="s">
        <v>2408</v>
      </c>
      <c r="D17" s="1817" t="s">
        <v>188</v>
      </c>
      <c r="E17" s="1818" t="s">
        <v>1607</v>
      </c>
      <c r="F17" s="1820" t="s">
        <v>2407</v>
      </c>
    </row>
    <row r="18" spans="2:6">
      <c r="B18" s="3879"/>
      <c r="C18" s="1735" t="s">
        <v>2409</v>
      </c>
      <c r="D18" s="1817" t="s">
        <v>531</v>
      </c>
      <c r="E18" s="1818" t="s">
        <v>1607</v>
      </c>
      <c r="F18" s="1820" t="s">
        <v>2407</v>
      </c>
    </row>
    <row r="19" spans="2:6">
      <c r="B19" s="3879"/>
      <c r="C19" s="1817" t="s">
        <v>530</v>
      </c>
      <c r="D19" s="1817" t="s">
        <v>531</v>
      </c>
      <c r="E19" s="1818" t="s">
        <v>534</v>
      </c>
      <c r="F19" s="1820" t="s">
        <v>2407</v>
      </c>
    </row>
    <row r="20" spans="2:6">
      <c r="B20" s="3879"/>
      <c r="C20" s="1821" t="s">
        <v>530</v>
      </c>
      <c r="D20" s="1821" t="s">
        <v>531</v>
      </c>
      <c r="E20" s="1822" t="s">
        <v>1607</v>
      </c>
      <c r="F20" s="1823" t="s">
        <v>2683</v>
      </c>
    </row>
    <row r="21" spans="2:6">
      <c r="B21" s="3880"/>
      <c r="C21" s="1727" t="s">
        <v>1608</v>
      </c>
      <c r="D21" s="1728"/>
      <c r="E21" s="1729"/>
      <c r="F21" s="1730"/>
    </row>
    <row r="22" spans="2:6" ht="15">
      <c r="B22" s="3879"/>
      <c r="C22" s="1731" t="s">
        <v>2403</v>
      </c>
      <c r="D22" s="1824" t="s">
        <v>185</v>
      </c>
      <c r="E22" s="1825" t="s">
        <v>186</v>
      </c>
      <c r="F22" s="1819" t="s">
        <v>3043</v>
      </c>
    </row>
    <row r="23" spans="2:6" ht="15">
      <c r="B23" s="3879"/>
      <c r="C23" s="1816" t="s">
        <v>2405</v>
      </c>
      <c r="D23" s="1817" t="s">
        <v>187</v>
      </c>
      <c r="E23" s="1818" t="s">
        <v>1607</v>
      </c>
      <c r="F23" s="1820" t="s">
        <v>3043</v>
      </c>
    </row>
    <row r="24" spans="2:6">
      <c r="B24" s="3879"/>
      <c r="C24" s="1735" t="s">
        <v>2406</v>
      </c>
      <c r="D24" s="1817" t="s">
        <v>531</v>
      </c>
      <c r="E24" s="1818" t="s">
        <v>1607</v>
      </c>
      <c r="F24" s="1820" t="s">
        <v>3044</v>
      </c>
    </row>
    <row r="25" spans="2:6">
      <c r="B25" s="3879"/>
      <c r="C25" s="1735" t="s">
        <v>2408</v>
      </c>
      <c r="D25" s="1817" t="s">
        <v>188</v>
      </c>
      <c r="E25" s="1818" t="s">
        <v>1607</v>
      </c>
      <c r="F25" s="1820" t="s">
        <v>3044</v>
      </c>
    </row>
    <row r="26" spans="2:6">
      <c r="B26" s="3879"/>
      <c r="C26" s="1735" t="s">
        <v>2409</v>
      </c>
      <c r="D26" s="1817" t="s">
        <v>531</v>
      </c>
      <c r="E26" s="1818" t="s">
        <v>1607</v>
      </c>
      <c r="F26" s="1820" t="s">
        <v>3044</v>
      </c>
    </row>
    <row r="27" spans="2:6">
      <c r="B27" s="3879"/>
      <c r="C27" s="1826" t="s">
        <v>695</v>
      </c>
      <c r="D27" s="1817" t="s">
        <v>531</v>
      </c>
      <c r="E27" s="1818" t="s">
        <v>534</v>
      </c>
      <c r="F27" s="1820" t="s">
        <v>3044</v>
      </c>
    </row>
    <row r="28" spans="2:6">
      <c r="B28" s="3879"/>
      <c r="C28" s="1821" t="s">
        <v>530</v>
      </c>
      <c r="D28" s="1821" t="s">
        <v>531</v>
      </c>
      <c r="E28" s="1822" t="s">
        <v>1607</v>
      </c>
      <c r="F28" s="1820" t="s">
        <v>3044</v>
      </c>
    </row>
    <row r="29" spans="2:6">
      <c r="B29" s="3880"/>
      <c r="C29" s="1727" t="s">
        <v>293</v>
      </c>
      <c r="D29" s="1728"/>
      <c r="E29" s="1729"/>
      <c r="F29" s="1772"/>
    </row>
    <row r="30" spans="2:6" ht="29.25" customHeight="1">
      <c r="B30" s="3879"/>
      <c r="C30" s="1731" t="s">
        <v>294</v>
      </c>
      <c r="D30" s="1827" t="s">
        <v>189</v>
      </c>
      <c r="E30" s="1827" t="s">
        <v>189</v>
      </c>
      <c r="F30" s="1828"/>
    </row>
    <row r="31" spans="2:6" ht="29.25" customHeight="1">
      <c r="B31" s="3879"/>
      <c r="C31" s="1731" t="s">
        <v>295</v>
      </c>
      <c r="D31" s="1827" t="s">
        <v>190</v>
      </c>
      <c r="E31" s="1827" t="s">
        <v>190</v>
      </c>
      <c r="F31" s="1828"/>
    </row>
    <row r="32" spans="2:6" ht="24" customHeight="1">
      <c r="B32" s="3879"/>
      <c r="C32" s="1735" t="s">
        <v>296</v>
      </c>
      <c r="D32" s="1827" t="s">
        <v>191</v>
      </c>
      <c r="E32" s="1827" t="s">
        <v>191</v>
      </c>
      <c r="F32" s="1829"/>
    </row>
    <row r="33" spans="2:6" ht="24" customHeight="1">
      <c r="B33" s="3879"/>
      <c r="C33" s="1752" t="s">
        <v>297</v>
      </c>
      <c r="D33" s="1830" t="s">
        <v>191</v>
      </c>
      <c r="E33" s="1830" t="s">
        <v>191</v>
      </c>
      <c r="F33" s="1831"/>
    </row>
    <row r="34" spans="2:6" ht="19.5" customHeight="1">
      <c r="B34" s="1711"/>
      <c r="C34" s="1755" t="s">
        <v>331</v>
      </c>
      <c r="D34" s="1832">
        <v>10</v>
      </c>
      <c r="E34" s="1832">
        <v>8</v>
      </c>
      <c r="F34" s="1808" t="s">
        <v>2625</v>
      </c>
    </row>
    <row r="35" spans="2:6">
      <c r="B35" s="1726" t="s">
        <v>192</v>
      </c>
      <c r="C35" s="1758" t="s">
        <v>298</v>
      </c>
      <c r="D35" s="1759"/>
      <c r="E35" s="1759"/>
      <c r="F35" s="1730"/>
    </row>
    <row r="36" spans="2:6">
      <c r="B36" s="1717" t="s">
        <v>536</v>
      </c>
      <c r="C36" s="1785" t="s">
        <v>2612</v>
      </c>
      <c r="D36" s="2429"/>
      <c r="E36" s="2429"/>
      <c r="F36" s="1815"/>
    </row>
    <row r="37" spans="2:6" hidden="1">
      <c r="B37" s="1717"/>
      <c r="C37" s="1735" t="s">
        <v>2614</v>
      </c>
      <c r="D37" s="2430"/>
      <c r="E37" s="2430"/>
      <c r="F37" s="1820"/>
    </row>
    <row r="38" spans="2:6">
      <c r="B38" s="1717"/>
      <c r="C38" s="1735" t="s">
        <v>2615</v>
      </c>
      <c r="D38" s="2430"/>
      <c r="E38" s="2430"/>
      <c r="F38" s="1820"/>
    </row>
    <row r="39" spans="2:6">
      <c r="B39" s="1717"/>
      <c r="C39" s="1752" t="s">
        <v>2616</v>
      </c>
      <c r="D39" s="2431"/>
      <c r="E39" s="2431"/>
      <c r="F39" s="1839"/>
    </row>
    <row r="40" spans="2:6">
      <c r="B40" s="1726"/>
      <c r="C40" s="1758" t="s">
        <v>299</v>
      </c>
      <c r="D40" s="1759"/>
      <c r="E40" s="1759"/>
      <c r="F40" s="1730"/>
    </row>
    <row r="41" spans="2:6">
      <c r="B41" s="1717"/>
      <c r="C41" s="1785" t="s">
        <v>2612</v>
      </c>
      <c r="D41" s="2432"/>
      <c r="E41" s="2432"/>
      <c r="F41" s="2433"/>
    </row>
    <row r="42" spans="2:6">
      <c r="B42" s="1717"/>
      <c r="C42" s="1735" t="s">
        <v>2615</v>
      </c>
      <c r="D42" s="2434"/>
      <c r="E42" s="2434"/>
      <c r="F42" s="1829"/>
    </row>
    <row r="43" spans="2:6">
      <c r="B43" s="1717"/>
      <c r="C43" s="1752" t="s">
        <v>2616</v>
      </c>
      <c r="D43" s="2435"/>
      <c r="E43" s="2435"/>
      <c r="F43" s="1831"/>
    </row>
    <row r="44" spans="2:6" ht="29.25" customHeight="1">
      <c r="B44" s="1770"/>
      <c r="C44" s="1714" t="s">
        <v>650</v>
      </c>
      <c r="D44" s="1810"/>
      <c r="E44" s="1833"/>
      <c r="F44" s="1806"/>
    </row>
    <row r="45" spans="2:6">
      <c r="B45" s="1711"/>
      <c r="C45" s="1758" t="s">
        <v>331</v>
      </c>
      <c r="D45" s="1728"/>
      <c r="E45" s="1771"/>
      <c r="F45" s="1772"/>
    </row>
    <row r="46" spans="2:6" ht="29.25" customHeight="1">
      <c r="B46" s="1717"/>
      <c r="C46" s="1709" t="s">
        <v>537</v>
      </c>
      <c r="D46" s="1809">
        <v>30</v>
      </c>
      <c r="E46" s="1809">
        <v>20</v>
      </c>
      <c r="F46" s="1719" t="s">
        <v>2625</v>
      </c>
    </row>
    <row r="47" spans="2:6" ht="29.25" customHeight="1">
      <c r="B47" s="1717"/>
      <c r="C47" s="1731" t="s">
        <v>193</v>
      </c>
      <c r="D47" s="1773" t="s">
        <v>194</v>
      </c>
      <c r="E47" s="1834">
        <v>-15</v>
      </c>
      <c r="F47" s="1787" t="s">
        <v>2625</v>
      </c>
    </row>
    <row r="48" spans="2:6" ht="18.75" customHeight="1">
      <c r="B48" s="2428"/>
      <c r="C48" s="1835" t="s">
        <v>654</v>
      </c>
      <c r="D48" s="1775" t="s">
        <v>1121</v>
      </c>
      <c r="E48" s="1836"/>
      <c r="F48" s="1820"/>
    </row>
    <row r="49" spans="2:6" ht="18.75" customHeight="1">
      <c r="B49" s="1717"/>
      <c r="C49" s="1835"/>
      <c r="D49" s="1778" t="s">
        <v>1122</v>
      </c>
      <c r="E49" s="1837"/>
      <c r="F49" s="1820"/>
    </row>
    <row r="50" spans="2:6" ht="18.75" customHeight="1">
      <c r="B50" s="1717"/>
      <c r="C50" s="1835"/>
      <c r="D50" s="1779" t="s">
        <v>1123</v>
      </c>
      <c r="E50" s="1836"/>
      <c r="F50" s="1820"/>
    </row>
    <row r="51" spans="2:6" ht="18.75" customHeight="1">
      <c r="B51" s="1717"/>
      <c r="C51" s="1770"/>
      <c r="D51" s="1782" t="s">
        <v>1124</v>
      </c>
      <c r="E51" s="1838"/>
      <c r="F51" s="1839"/>
    </row>
    <row r="52" spans="2:6" ht="30.75" customHeight="1">
      <c r="B52" s="3879" t="s">
        <v>653</v>
      </c>
      <c r="C52" s="1835" t="s">
        <v>544</v>
      </c>
      <c r="D52" s="1786" t="s">
        <v>543</v>
      </c>
      <c r="E52" s="1837">
        <v>-25</v>
      </c>
      <c r="F52" s="1787" t="s">
        <v>2625</v>
      </c>
    </row>
    <row r="53" spans="2:6" ht="29.25" customHeight="1">
      <c r="B53" s="3879"/>
      <c r="C53" s="1740" t="s">
        <v>654</v>
      </c>
      <c r="D53" s="1788" t="s">
        <v>2219</v>
      </c>
      <c r="E53" s="1836"/>
      <c r="F53" s="1820"/>
    </row>
    <row r="54" spans="2:6" ht="29.25" customHeight="1">
      <c r="B54" s="3879"/>
      <c r="C54" s="1717"/>
      <c r="D54" s="1788" t="s">
        <v>793</v>
      </c>
      <c r="E54" s="1836"/>
      <c r="F54" s="1820"/>
    </row>
    <row r="55" spans="2:6" ht="24" customHeight="1">
      <c r="B55" s="3879"/>
      <c r="C55" s="1717"/>
      <c r="D55" s="1788" t="s">
        <v>794</v>
      </c>
      <c r="E55" s="1836"/>
      <c r="F55" s="1820"/>
    </row>
    <row r="56" spans="2:6" ht="29.25" customHeight="1">
      <c r="B56" s="3879"/>
      <c r="C56" s="1717"/>
      <c r="D56" s="1788" t="s">
        <v>795</v>
      </c>
      <c r="E56" s="1836"/>
      <c r="F56" s="1820"/>
    </row>
    <row r="57" spans="2:6" ht="30" hidden="1" customHeight="1">
      <c r="B57" s="1717"/>
      <c r="C57" s="1770"/>
      <c r="D57" s="1790"/>
      <c r="E57" s="1836" t="e">
        <f>E80</f>
        <v>#VALUE!</v>
      </c>
      <c r="F57" s="1820" t="s">
        <v>2625</v>
      </c>
    </row>
    <row r="58" spans="2:6" ht="42.75" customHeight="1">
      <c r="B58" s="1754"/>
      <c r="C58" s="1714" t="s">
        <v>1125</v>
      </c>
      <c r="D58" s="1810" t="s">
        <v>796</v>
      </c>
      <c r="E58" s="1810" t="s">
        <v>796</v>
      </c>
      <c r="F58" s="1806"/>
    </row>
    <row r="59" spans="2:6" ht="18.75" customHeight="1">
      <c r="B59" s="1754"/>
      <c r="C59" s="1755" t="s">
        <v>441</v>
      </c>
      <c r="D59" s="1840" t="s">
        <v>797</v>
      </c>
      <c r="E59" s="1840" t="s">
        <v>797</v>
      </c>
      <c r="F59" s="1841" t="s">
        <v>2862</v>
      </c>
    </row>
    <row r="60" spans="2:6">
      <c r="B60" s="1754"/>
      <c r="C60" s="1793" t="s">
        <v>1027</v>
      </c>
      <c r="D60" s="1759"/>
      <c r="E60" s="1759"/>
      <c r="F60" s="1772"/>
    </row>
    <row r="61" spans="2:6">
      <c r="B61" s="1754"/>
      <c r="C61" s="1794" t="s">
        <v>2749</v>
      </c>
      <c r="D61" s="1842" t="s">
        <v>798</v>
      </c>
      <c r="E61" s="1842" t="s">
        <v>652</v>
      </c>
      <c r="F61" s="1819" t="s">
        <v>180</v>
      </c>
    </row>
    <row r="62" spans="2:6" ht="14.25">
      <c r="B62" s="1754"/>
      <c r="C62" s="1794" t="s">
        <v>2750</v>
      </c>
      <c r="D62" s="1843" t="s">
        <v>798</v>
      </c>
      <c r="E62" s="1843" t="s">
        <v>652</v>
      </c>
      <c r="F62" s="1820" t="s">
        <v>182</v>
      </c>
    </row>
    <row r="63" spans="2:6">
      <c r="B63" s="1754"/>
      <c r="C63" s="1797" t="s">
        <v>2687</v>
      </c>
      <c r="D63" s="1843" t="s">
        <v>798</v>
      </c>
      <c r="E63" s="1843" t="s">
        <v>652</v>
      </c>
      <c r="F63" s="1820" t="s">
        <v>3495</v>
      </c>
    </row>
    <row r="64" spans="2:6" ht="14.25">
      <c r="B64" s="1754"/>
      <c r="C64" s="1797" t="s">
        <v>181</v>
      </c>
      <c r="D64" s="1843" t="s">
        <v>799</v>
      </c>
      <c r="E64" s="1843" t="s">
        <v>652</v>
      </c>
      <c r="F64" s="1820" t="s">
        <v>182</v>
      </c>
    </row>
    <row r="65" spans="2:6" ht="24">
      <c r="B65" s="1754"/>
      <c r="C65" s="1844" t="s">
        <v>2681</v>
      </c>
      <c r="D65" s="1845" t="s">
        <v>313</v>
      </c>
      <c r="E65" s="1845" t="s">
        <v>652</v>
      </c>
      <c r="F65" s="1839" t="s">
        <v>182</v>
      </c>
    </row>
    <row r="66" spans="2:6">
      <c r="B66" s="1717"/>
      <c r="C66" s="1802" t="s">
        <v>2682</v>
      </c>
      <c r="D66" s="1803"/>
      <c r="E66" s="1803"/>
      <c r="F66" s="1804"/>
    </row>
    <row r="67" spans="2:6">
      <c r="B67" s="1717"/>
      <c r="C67" s="1760"/>
      <c r="D67" s="1803"/>
      <c r="E67" s="1803"/>
      <c r="F67" s="1804"/>
    </row>
    <row r="68" spans="2:6">
      <c r="B68" s="3881" t="s">
        <v>365</v>
      </c>
      <c r="C68" s="3876"/>
      <c r="D68" s="3876"/>
      <c r="E68" s="3876"/>
      <c r="F68" s="3876"/>
    </row>
    <row r="69" spans="2:6">
      <c r="B69" s="3881"/>
      <c r="C69" s="3877"/>
      <c r="D69" s="3877"/>
      <c r="E69" s="3877"/>
      <c r="F69" s="3877"/>
    </row>
    <row r="70" spans="2:6">
      <c r="B70" s="3881"/>
      <c r="C70" s="3877"/>
      <c r="D70" s="3877"/>
      <c r="E70" s="3877"/>
      <c r="F70" s="3877"/>
    </row>
    <row r="71" spans="2:6">
      <c r="B71" s="3881"/>
      <c r="C71" s="3878"/>
      <c r="D71" s="3878"/>
      <c r="E71" s="3878"/>
      <c r="F71" s="3878"/>
    </row>
    <row r="72" spans="2:6"/>
    <row r="73" spans="2:6">
      <c r="B73" t="s">
        <v>696</v>
      </c>
    </row>
    <row r="74" spans="2:6">
      <c r="B74" s="1711"/>
      <c r="C74" s="1727" t="s">
        <v>724</v>
      </c>
      <c r="D74" s="1728"/>
      <c r="E74" s="1729"/>
      <c r="F74" s="1743"/>
    </row>
    <row r="75" spans="2:6">
      <c r="B75" s="1717"/>
      <c r="C75" s="1740" t="s">
        <v>723</v>
      </c>
      <c r="D75" s="1736" t="s">
        <v>800</v>
      </c>
      <c r="E75" s="1846">
        <f>(計画書!J84+計画書!K84+計画書!L84)/CO2データ!$J$96*1000</f>
        <v>0</v>
      </c>
      <c r="F75" s="1739" t="s">
        <v>801</v>
      </c>
    </row>
    <row r="76" spans="2:6">
      <c r="B76" s="1717" t="s">
        <v>728</v>
      </c>
      <c r="C76" s="1717"/>
      <c r="D76" s="1736" t="s">
        <v>802</v>
      </c>
      <c r="E76" s="1846">
        <f>(計画書!J85+計画書!K85+計画書!L85)/CO2データ!$J$96*1000</f>
        <v>0</v>
      </c>
      <c r="F76" s="1739" t="s">
        <v>803</v>
      </c>
    </row>
    <row r="77" spans="2:6">
      <c r="B77" s="1717" t="s">
        <v>804</v>
      </c>
      <c r="C77" s="1731"/>
      <c r="D77" s="1736" t="s">
        <v>805</v>
      </c>
      <c r="E77" s="1846">
        <f>E75-E76</f>
        <v>0</v>
      </c>
      <c r="F77" s="1739" t="s">
        <v>803</v>
      </c>
    </row>
    <row r="78" spans="2:6">
      <c r="B78" s="1717"/>
      <c r="C78" s="1740" t="s">
        <v>2287</v>
      </c>
      <c r="D78" s="1736" t="s">
        <v>2101</v>
      </c>
      <c r="E78" s="1737" t="e">
        <f>E75*E81/E$6</f>
        <v>#VALUE!</v>
      </c>
      <c r="F78" s="1847" t="s">
        <v>2625</v>
      </c>
    </row>
    <row r="79" spans="2:6">
      <c r="B79" s="1717"/>
      <c r="C79" s="1717"/>
      <c r="D79" s="1736" t="s">
        <v>802</v>
      </c>
      <c r="E79" s="1737" t="e">
        <f>E78-E80</f>
        <v>#VALUE!</v>
      </c>
      <c r="F79" s="1847" t="s">
        <v>2625</v>
      </c>
    </row>
    <row r="80" spans="2:6">
      <c r="B80" s="1717"/>
      <c r="C80" s="1731"/>
      <c r="D80" s="1736" t="s">
        <v>805</v>
      </c>
      <c r="E80" s="1737" t="e">
        <f>E77*E82/E$6</f>
        <v>#VALUE!</v>
      </c>
      <c r="F80" s="1847" t="s">
        <v>2625</v>
      </c>
    </row>
    <row r="81" spans="2:6" hidden="1">
      <c r="B81" s="1717"/>
      <c r="C81" s="1740" t="s">
        <v>2288</v>
      </c>
      <c r="D81" s="1736" t="s">
        <v>2102</v>
      </c>
      <c r="E81" s="1848" t="e">
        <f>CO2データ!I95</f>
        <v>#VALUE!</v>
      </c>
      <c r="F81" s="1847" t="s">
        <v>1079</v>
      </c>
    </row>
    <row r="82" spans="2:6" hidden="1">
      <c r="B82" s="1717"/>
      <c r="C82" s="1717"/>
      <c r="D82" s="1736" t="s">
        <v>1080</v>
      </c>
      <c r="E82" s="1848" t="e">
        <f>CO2データ!I95</f>
        <v>#VALUE!</v>
      </c>
      <c r="F82" s="1847" t="s">
        <v>1079</v>
      </c>
    </row>
    <row r="83" spans="2:6" hidden="1">
      <c r="B83" s="1717"/>
      <c r="C83" s="1731"/>
      <c r="D83" s="1736" t="s">
        <v>1325</v>
      </c>
      <c r="E83" s="1737" t="s">
        <v>1182</v>
      </c>
      <c r="F83" s="1739"/>
    </row>
    <row r="84" spans="2:6">
      <c r="B84" s="1717"/>
      <c r="C84" s="1727" t="s">
        <v>1183</v>
      </c>
      <c r="D84" s="1728"/>
      <c r="E84" s="1729"/>
      <c r="F84" s="1743"/>
    </row>
    <row r="85" spans="2:6">
      <c r="B85" s="1717"/>
      <c r="C85" s="1849" t="s">
        <v>2132</v>
      </c>
      <c r="D85" s="1732"/>
      <c r="E85" s="1850" t="e">
        <f>(CO2計算!I125*計画書!T96+CO2計算!I127*CO2データ!N208+CO2計算!I126*CO2データ!N207)/CO2データ!J96*1000</f>
        <v>#VALUE!</v>
      </c>
      <c r="F85" s="1738" t="s">
        <v>801</v>
      </c>
    </row>
    <row r="86" spans="2:6">
      <c r="B86" s="1717"/>
      <c r="C86" s="1740" t="s">
        <v>1763</v>
      </c>
      <c r="D86" s="1736" t="s">
        <v>1184</v>
      </c>
      <c r="E86" s="1848" t="e">
        <f>係数!D5*1000</f>
        <v>#VALUE!</v>
      </c>
      <c r="F86" s="1847" t="s">
        <v>2133</v>
      </c>
    </row>
    <row r="87" spans="2:6">
      <c r="B87" s="1717"/>
      <c r="C87" s="1731"/>
      <c r="D87" s="1736" t="s">
        <v>1093</v>
      </c>
      <c r="E87" s="1848" t="e">
        <f>係数!J89*1000</f>
        <v>#VALUE!</v>
      </c>
      <c r="F87" s="1847" t="s">
        <v>1079</v>
      </c>
    </row>
    <row r="88" spans="2:6">
      <c r="B88" s="1717"/>
      <c r="C88" s="1740" t="s">
        <v>2134</v>
      </c>
      <c r="D88" s="1851" t="s">
        <v>2582</v>
      </c>
      <c r="E88" s="1852" t="e">
        <f>E85*(E86-E87)</f>
        <v>#VALUE!</v>
      </c>
      <c r="F88" s="1847" t="s">
        <v>442</v>
      </c>
    </row>
    <row r="89" spans="2:6">
      <c r="B89" s="1770"/>
      <c r="C89" s="1770"/>
      <c r="D89" s="1853" t="s">
        <v>1185</v>
      </c>
      <c r="E89" s="1854" t="e">
        <f>E88/E6</f>
        <v>#VALUE!</v>
      </c>
      <c r="F89" s="1801" t="s">
        <v>2625</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algorithmName="SHA-512" hashValue="ci+GwZhIwv4WuNwbvENEJjw7QGT3VbeUb/fHqh39bCC+eWYxQCFQ61DbQ82HXUGfyTSvroEfNe/AloFQBp1+/g==" saltValue="a9inix6p9lEY6Rm3mQu9Vw==" spinCount="10000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E6" sqref="E6"/>
    </sheetView>
  </sheetViews>
  <sheetFormatPr defaultColWidth="0" defaultRowHeight="13.5" zeroHeight="1"/>
  <cols>
    <col min="1" max="1" width="1.25" customWidth="1"/>
    <col min="2" max="2" width="7.25" style="1855" customWidth="1"/>
    <col min="3" max="3" width="37" style="1856" customWidth="1"/>
    <col min="4" max="4" width="8.875" style="1857" bestFit="1" customWidth="1"/>
    <col min="5" max="5" width="8.875" style="1858" bestFit="1" customWidth="1"/>
    <col min="6" max="6" width="1.625" customWidth="1"/>
    <col min="7" max="14" width="7.875" style="1858" customWidth="1"/>
    <col min="15" max="15" width="2.625" customWidth="1"/>
    <col min="16" max="16" width="5.875" style="1859" customWidth="1"/>
    <col min="17" max="17" width="7.875" style="1859" customWidth="1"/>
    <col min="18" max="18" width="37.25" style="1860" customWidth="1"/>
    <col min="19" max="30" width="6.625" style="1861" customWidth="1"/>
    <col min="31" max="31" width="8.875" style="1861" bestFit="1" customWidth="1"/>
    <col min="32" max="32" width="9.125" customWidth="1"/>
    <col min="33" max="33" width="10.5" style="1862" hidden="1" customWidth="1"/>
    <col min="34" max="34" width="6.875" style="132" hidden="1" customWidth="1"/>
    <col min="35" max="35" width="40.625" style="1863"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62" hidden="1" customWidth="1"/>
    <col min="51" max="51" width="6.875" style="132" hidden="1" customWidth="1"/>
    <col min="52" max="52" width="40.625" style="1863"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62" hidden="1" customWidth="1"/>
    <col min="68" max="68" width="6.875" style="132" hidden="1" customWidth="1"/>
    <col min="69" max="69" width="40.625" style="1863"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60" hidden="1" customWidth="1"/>
    <col min="84" max="84" width="4.5" hidden="1" customWidth="1"/>
    <col min="85" max="85" width="15.75" style="1360" hidden="1" customWidth="1"/>
    <col min="86" max="86" width="6.875" style="1360" hidden="1" customWidth="1"/>
    <col min="87" max="87" width="40.625" style="1360" hidden="1" customWidth="1"/>
    <col min="88" max="88" width="6.375" style="1360" hidden="1" customWidth="1"/>
    <col min="89" max="89" width="5" style="1360" hidden="1" customWidth="1"/>
    <col min="90" max="91" width="6.375" style="1360" hidden="1" customWidth="1"/>
    <col min="92" max="92" width="5" style="1360" hidden="1" customWidth="1"/>
    <col min="93" max="93" width="6.125" style="1360" hidden="1" customWidth="1"/>
    <col min="94" max="94" width="8" style="1360" hidden="1" customWidth="1"/>
    <col min="95" max="95" width="6.375" style="1360" hidden="1" customWidth="1"/>
    <col min="96" max="96" width="5" style="1360" hidden="1" customWidth="1"/>
    <col min="97" max="97" width="6.375" style="1360" hidden="1" customWidth="1"/>
    <col min="98" max="98" width="5.625" style="1360" hidden="1" customWidth="1"/>
    <col min="99" max="99" width="7" style="1360" hidden="1" customWidth="1"/>
    <col min="100" max="100" width="8.875" style="1360"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864" t="s">
        <v>1186</v>
      </c>
      <c r="C2" s="1865"/>
      <c r="D2" s="1866"/>
      <c r="E2" s="1867"/>
      <c r="G2" s="1867"/>
      <c r="H2" s="1867"/>
      <c r="I2" s="1868"/>
      <c r="J2" s="1868"/>
      <c r="K2" s="1867"/>
      <c r="L2" s="1867"/>
      <c r="M2" s="1867"/>
      <c r="N2" s="1867"/>
      <c r="P2" s="1869" t="s">
        <v>1187</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7.2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1188</v>
      </c>
      <c r="AH3" s="1872"/>
      <c r="AI3" s="1879"/>
      <c r="AJ3" s="1873"/>
      <c r="AK3" s="1873"/>
      <c r="AL3" s="1873"/>
      <c r="AM3" s="1873"/>
      <c r="AN3" s="1873"/>
      <c r="AO3" s="1873"/>
      <c r="AP3" s="1873"/>
      <c r="AQ3" s="1873"/>
      <c r="AR3" s="1873"/>
      <c r="AS3" s="1873"/>
      <c r="AT3" s="1873"/>
      <c r="AU3" s="1873"/>
      <c r="AV3" s="1873"/>
      <c r="AX3" s="1877" t="s">
        <v>1189</v>
      </c>
      <c r="AY3" s="1872"/>
      <c r="AZ3" s="1879"/>
      <c r="BA3" s="1873"/>
      <c r="BB3" s="1873"/>
      <c r="BC3" s="1873"/>
      <c r="BD3" s="1873"/>
      <c r="BE3" s="1873"/>
      <c r="BF3" s="1873"/>
      <c r="BG3" s="1873"/>
      <c r="BH3" s="1873"/>
      <c r="BI3" s="1873"/>
      <c r="BJ3" s="1873"/>
      <c r="BK3" s="1873"/>
      <c r="BL3" s="1873"/>
      <c r="BM3" s="1873"/>
      <c r="BO3" s="1877" t="s">
        <v>1190</v>
      </c>
      <c r="BP3" s="1872"/>
      <c r="BQ3" s="1879"/>
      <c r="BR3" s="1873"/>
      <c r="BS3" s="1873"/>
      <c r="BT3" s="1873"/>
      <c r="BU3" s="1873"/>
      <c r="BV3" s="1873"/>
      <c r="BW3" s="1873"/>
      <c r="BX3" s="1873"/>
      <c r="BY3" s="1873"/>
      <c r="BZ3" s="1873"/>
      <c r="CA3" s="1873"/>
      <c r="CB3" s="1873"/>
      <c r="CC3" s="1873"/>
      <c r="CD3" s="1873"/>
      <c r="CE3" s="1873"/>
      <c r="CG3" s="1877" t="s">
        <v>3308</v>
      </c>
      <c r="CH3" s="1872"/>
      <c r="CI3" s="1879"/>
      <c r="CJ3" s="1873"/>
      <c r="CK3" s="1873"/>
      <c r="CL3" s="1873"/>
      <c r="CM3" s="1873"/>
      <c r="CN3" s="1873"/>
      <c r="CO3" s="1873"/>
      <c r="CP3" s="1873"/>
      <c r="CQ3" s="1873"/>
      <c r="CR3" s="1873"/>
      <c r="CS3" s="1873"/>
      <c r="CT3" s="1873"/>
      <c r="CU3" s="1873"/>
      <c r="CV3" s="1873"/>
      <c r="CX3" s="1877" t="s">
        <v>3474</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1191</v>
      </c>
      <c r="E5" s="1883"/>
      <c r="G5" s="1884" t="s">
        <v>1192</v>
      </c>
      <c r="H5" s="1885"/>
      <c r="I5" s="1886" t="s">
        <v>1193</v>
      </c>
      <c r="J5" s="1887"/>
      <c r="K5" s="1884" t="s">
        <v>1194</v>
      </c>
      <c r="L5" s="1885"/>
      <c r="M5" s="1884" t="s">
        <v>1195</v>
      </c>
      <c r="N5" s="1885"/>
      <c r="P5" s="1888"/>
      <c r="Q5" s="1888"/>
      <c r="R5" s="1889"/>
      <c r="S5" s="3887" t="s">
        <v>933</v>
      </c>
      <c r="T5" s="3887"/>
      <c r="U5" s="3887"/>
      <c r="V5" s="3887"/>
      <c r="W5" s="3887"/>
      <c r="X5" s="3887"/>
      <c r="Y5" s="3887"/>
      <c r="Z5" s="3887"/>
      <c r="AA5" s="3888"/>
      <c r="AB5" s="1890" t="s">
        <v>934</v>
      </c>
      <c r="AC5" s="3887" t="s">
        <v>935</v>
      </c>
      <c r="AD5" s="3887"/>
      <c r="AE5" s="3887"/>
      <c r="AG5" s="1891"/>
      <c r="AH5" s="1888"/>
      <c r="AI5" s="1892"/>
      <c r="AJ5" s="3887" t="s">
        <v>933</v>
      </c>
      <c r="AK5" s="3887"/>
      <c r="AL5" s="3887"/>
      <c r="AM5" s="3887"/>
      <c r="AN5" s="3887"/>
      <c r="AO5" s="3887"/>
      <c r="AP5" s="3887"/>
      <c r="AQ5" s="3887"/>
      <c r="AR5" s="3888"/>
      <c r="AS5" s="1890" t="s">
        <v>934</v>
      </c>
      <c r="AT5" s="3887" t="s">
        <v>935</v>
      </c>
      <c r="AU5" s="3887"/>
      <c r="AV5" s="3887"/>
      <c r="AX5" s="1891"/>
      <c r="AY5" s="1888"/>
      <c r="AZ5" s="1892"/>
      <c r="BA5" s="3887" t="s">
        <v>933</v>
      </c>
      <c r="BB5" s="3887"/>
      <c r="BC5" s="3887"/>
      <c r="BD5" s="3887"/>
      <c r="BE5" s="3887"/>
      <c r="BF5" s="3887"/>
      <c r="BG5" s="3887"/>
      <c r="BH5" s="3887"/>
      <c r="BI5" s="3888"/>
      <c r="BJ5" s="1890" t="s">
        <v>934</v>
      </c>
      <c r="BK5" s="3887" t="s">
        <v>935</v>
      </c>
      <c r="BL5" s="3887"/>
      <c r="BM5" s="3887"/>
      <c r="BO5" s="1891"/>
      <c r="BP5" s="1888"/>
      <c r="BQ5" s="1892"/>
      <c r="BR5" s="3887" t="s">
        <v>933</v>
      </c>
      <c r="BS5" s="3887"/>
      <c r="BT5" s="3887"/>
      <c r="BU5" s="3887"/>
      <c r="BV5" s="3887"/>
      <c r="BW5" s="3887"/>
      <c r="BX5" s="3887"/>
      <c r="BY5" s="3887"/>
      <c r="BZ5" s="3888"/>
      <c r="CA5" s="1890" t="s">
        <v>934</v>
      </c>
      <c r="CB5" s="3887" t="s">
        <v>935</v>
      </c>
      <c r="CC5" s="3887"/>
      <c r="CD5" s="3887"/>
      <c r="CE5" s="2266"/>
      <c r="CG5" s="1891"/>
      <c r="CH5" s="1888"/>
      <c r="CI5" s="1892"/>
      <c r="CJ5" s="3887" t="s">
        <v>933</v>
      </c>
      <c r="CK5" s="3887"/>
      <c r="CL5" s="3887"/>
      <c r="CM5" s="3887"/>
      <c r="CN5" s="3887"/>
      <c r="CO5" s="3887"/>
      <c r="CP5" s="3887"/>
      <c r="CQ5" s="3887"/>
      <c r="CR5" s="3888"/>
      <c r="CS5" s="2686" t="s">
        <v>934</v>
      </c>
      <c r="CT5" s="3887" t="s">
        <v>935</v>
      </c>
      <c r="CU5" s="3887"/>
      <c r="CV5" s="3887"/>
      <c r="CX5" s="1891"/>
      <c r="CY5" s="1888"/>
      <c r="CZ5" s="1892"/>
      <c r="DA5" s="3887" t="s">
        <v>933</v>
      </c>
      <c r="DB5" s="3887"/>
      <c r="DC5" s="3887"/>
      <c r="DD5" s="3887"/>
      <c r="DE5" s="3887"/>
      <c r="DF5" s="3887"/>
      <c r="DG5" s="3887"/>
      <c r="DH5" s="3887"/>
      <c r="DI5" s="3888"/>
      <c r="DJ5" s="2879" t="s">
        <v>934</v>
      </c>
      <c r="DK5" s="3887" t="s">
        <v>935</v>
      </c>
      <c r="DL5" s="3887"/>
      <c r="DM5" s="3887"/>
    </row>
    <row r="6" spans="2:117">
      <c r="B6" s="1893"/>
      <c r="C6" s="1894"/>
      <c r="D6" s="1895" t="s">
        <v>936</v>
      </c>
      <c r="E6" s="1895" t="s">
        <v>937</v>
      </c>
      <c r="G6" s="1895" t="s">
        <v>936</v>
      </c>
      <c r="H6" s="1895" t="s">
        <v>937</v>
      </c>
      <c r="I6" s="1895" t="s">
        <v>936</v>
      </c>
      <c r="J6" s="1895" t="s">
        <v>937</v>
      </c>
      <c r="K6" s="1895" t="s">
        <v>936</v>
      </c>
      <c r="L6" s="1895" t="s">
        <v>937</v>
      </c>
      <c r="M6" s="1895" t="s">
        <v>936</v>
      </c>
      <c r="N6" s="1895" t="s">
        <v>937</v>
      </c>
      <c r="P6" s="1889"/>
      <c r="Q6" s="1889" t="s">
        <v>2160</v>
      </c>
      <c r="R6" s="1889" t="s">
        <v>938</v>
      </c>
      <c r="S6" s="1896" t="s">
        <v>462</v>
      </c>
      <c r="T6" s="1896" t="s">
        <v>464</v>
      </c>
      <c r="U6" s="1896" t="s">
        <v>466</v>
      </c>
      <c r="V6" s="1896" t="s">
        <v>468</v>
      </c>
      <c r="W6" s="1896" t="s">
        <v>472</v>
      </c>
      <c r="X6" s="1896" t="s">
        <v>474</v>
      </c>
      <c r="Y6" s="1896" t="s">
        <v>476</v>
      </c>
      <c r="Z6" s="1897" t="s">
        <v>1973</v>
      </c>
      <c r="AA6" s="1896" t="s">
        <v>478</v>
      </c>
      <c r="AB6" s="1896" t="s">
        <v>464</v>
      </c>
      <c r="AC6" s="1898" t="s">
        <v>2135</v>
      </c>
      <c r="AD6" s="1896" t="s">
        <v>250</v>
      </c>
      <c r="AE6" s="1896" t="s">
        <v>251</v>
      </c>
      <c r="AG6" s="1899"/>
      <c r="AH6" s="1889" t="s">
        <v>2160</v>
      </c>
      <c r="AI6" s="1892" t="s">
        <v>938</v>
      </c>
      <c r="AJ6" s="1896" t="s">
        <v>462</v>
      </c>
      <c r="AK6" s="1896" t="s">
        <v>464</v>
      </c>
      <c r="AL6" s="1896" t="s">
        <v>466</v>
      </c>
      <c r="AM6" s="1896" t="s">
        <v>468</v>
      </c>
      <c r="AN6" s="1896" t="s">
        <v>472</v>
      </c>
      <c r="AO6" s="1896" t="s">
        <v>474</v>
      </c>
      <c r="AP6" s="1896" t="s">
        <v>476</v>
      </c>
      <c r="AQ6" s="1897" t="s">
        <v>1973</v>
      </c>
      <c r="AR6" s="1896" t="s">
        <v>478</v>
      </c>
      <c r="AS6" s="1896" t="s">
        <v>464</v>
      </c>
      <c r="AT6" s="1898" t="s">
        <v>2135</v>
      </c>
      <c r="AU6" s="1896" t="s">
        <v>250</v>
      </c>
      <c r="AV6" s="1896" t="s">
        <v>251</v>
      </c>
      <c r="AX6" s="1899"/>
      <c r="AY6" s="1889" t="s">
        <v>2160</v>
      </c>
      <c r="AZ6" s="1892" t="s">
        <v>938</v>
      </c>
      <c r="BA6" s="1896" t="s">
        <v>462</v>
      </c>
      <c r="BB6" s="1896" t="s">
        <v>464</v>
      </c>
      <c r="BC6" s="1896" t="s">
        <v>466</v>
      </c>
      <c r="BD6" s="1896" t="s">
        <v>468</v>
      </c>
      <c r="BE6" s="1896" t="s">
        <v>472</v>
      </c>
      <c r="BF6" s="1896" t="s">
        <v>474</v>
      </c>
      <c r="BG6" s="1896" t="s">
        <v>476</v>
      </c>
      <c r="BH6" s="1897" t="s">
        <v>1973</v>
      </c>
      <c r="BI6" s="1896" t="s">
        <v>478</v>
      </c>
      <c r="BJ6" s="1896" t="s">
        <v>464</v>
      </c>
      <c r="BK6" s="1898" t="s">
        <v>2135</v>
      </c>
      <c r="BL6" s="1896" t="s">
        <v>250</v>
      </c>
      <c r="BM6" s="1896" t="s">
        <v>251</v>
      </c>
      <c r="BO6" s="1899"/>
      <c r="BP6" s="1889" t="s">
        <v>2160</v>
      </c>
      <c r="BQ6" s="1892" t="s">
        <v>938</v>
      </c>
      <c r="BR6" s="1896" t="s">
        <v>462</v>
      </c>
      <c r="BS6" s="1896" t="s">
        <v>464</v>
      </c>
      <c r="BT6" s="1896" t="s">
        <v>466</v>
      </c>
      <c r="BU6" s="1896" t="s">
        <v>468</v>
      </c>
      <c r="BV6" s="1896" t="s">
        <v>472</v>
      </c>
      <c r="BW6" s="1896" t="s">
        <v>474</v>
      </c>
      <c r="BX6" s="1896" t="s">
        <v>476</v>
      </c>
      <c r="BY6" s="1897" t="s">
        <v>1973</v>
      </c>
      <c r="BZ6" s="1896" t="s">
        <v>478</v>
      </c>
      <c r="CA6" s="1896" t="s">
        <v>464</v>
      </c>
      <c r="CB6" s="1898" t="s">
        <v>2135</v>
      </c>
      <c r="CC6" s="1896" t="s">
        <v>250</v>
      </c>
      <c r="CD6" s="1896" t="s">
        <v>251</v>
      </c>
      <c r="CE6" s="2267"/>
      <c r="CG6" s="1899"/>
      <c r="CH6" s="1889" t="s">
        <v>2160</v>
      </c>
      <c r="CI6" s="1892" t="s">
        <v>938</v>
      </c>
      <c r="CJ6" s="1896" t="s">
        <v>462</v>
      </c>
      <c r="CK6" s="1896" t="s">
        <v>464</v>
      </c>
      <c r="CL6" s="1896" t="s">
        <v>466</v>
      </c>
      <c r="CM6" s="1896" t="s">
        <v>468</v>
      </c>
      <c r="CN6" s="1896" t="s">
        <v>472</v>
      </c>
      <c r="CO6" s="1896" t="s">
        <v>474</v>
      </c>
      <c r="CP6" s="1896" t="s">
        <v>476</v>
      </c>
      <c r="CQ6" s="1897" t="s">
        <v>1973</v>
      </c>
      <c r="CR6" s="1896" t="s">
        <v>478</v>
      </c>
      <c r="CS6" s="1896" t="s">
        <v>464</v>
      </c>
      <c r="CT6" s="1898" t="s">
        <v>2135</v>
      </c>
      <c r="CU6" s="1896" t="s">
        <v>250</v>
      </c>
      <c r="CV6" s="1896" t="s">
        <v>251</v>
      </c>
      <c r="CX6" s="1899"/>
      <c r="CY6" s="1889" t="s">
        <v>2160</v>
      </c>
      <c r="CZ6" s="1892" t="s">
        <v>938</v>
      </c>
      <c r="DA6" s="1896" t="s">
        <v>462</v>
      </c>
      <c r="DB6" s="1896" t="s">
        <v>464</v>
      </c>
      <c r="DC6" s="1896" t="s">
        <v>466</v>
      </c>
      <c r="DD6" s="1896" t="s">
        <v>468</v>
      </c>
      <c r="DE6" s="1896" t="s">
        <v>472</v>
      </c>
      <c r="DF6" s="1896" t="s">
        <v>474</v>
      </c>
      <c r="DG6" s="1896" t="s">
        <v>476</v>
      </c>
      <c r="DH6" s="1897" t="s">
        <v>1973</v>
      </c>
      <c r="DI6" s="1896" t="s">
        <v>478</v>
      </c>
      <c r="DJ6" s="1896" t="s">
        <v>464</v>
      </c>
      <c r="DK6" s="1898" t="s">
        <v>2135</v>
      </c>
      <c r="DL6" s="1896" t="s">
        <v>250</v>
      </c>
      <c r="DM6" s="1896" t="s">
        <v>251</v>
      </c>
    </row>
    <row r="7" spans="2:117">
      <c r="B7" s="1900"/>
      <c r="C7" s="1901" t="s">
        <v>252</v>
      </c>
      <c r="D7" s="1902">
        <f>1-E7</f>
        <v>1</v>
      </c>
      <c r="E7" s="1903">
        <f>(AC8*W7)+(AD8*X7)+(AE8*Y7)</f>
        <v>0</v>
      </c>
      <c r="G7" s="1903"/>
      <c r="H7" s="1903"/>
      <c r="I7" s="1903"/>
      <c r="J7" s="1903"/>
      <c r="K7" s="1903"/>
      <c r="L7" s="1903"/>
      <c r="M7" s="1903"/>
      <c r="N7" s="1903"/>
      <c r="P7" s="1888"/>
      <c r="Q7" s="1888" t="s">
        <v>939</v>
      </c>
      <c r="R7" s="1889" t="s">
        <v>940</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25">
      <c r="B8" s="1906" t="s">
        <v>253</v>
      </c>
      <c r="C8" s="2998" t="s">
        <v>950</v>
      </c>
      <c r="D8" s="1908"/>
      <c r="E8" s="1909"/>
      <c r="G8" s="1909"/>
      <c r="H8" s="1909"/>
      <c r="I8" s="1909">
        <f>G9+G62+G112</f>
        <v>1</v>
      </c>
      <c r="J8" s="1909">
        <f>H9+H62+H112</f>
        <v>0</v>
      </c>
      <c r="K8" s="1909"/>
      <c r="L8" s="1909"/>
      <c r="M8" s="1909"/>
      <c r="N8" s="1909"/>
      <c r="P8" s="1906"/>
      <c r="Q8" s="1906" t="s">
        <v>254</v>
      </c>
      <c r="R8" s="1889" t="s">
        <v>951</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0.4</v>
      </c>
      <c r="E9" s="1918">
        <f>IF(J$8=0,0,H9/J$8)</f>
        <v>0</v>
      </c>
      <c r="G9" s="1918">
        <f t="shared" ref="G9:G41" si="2">K9*M9</f>
        <v>0.4</v>
      </c>
      <c r="H9" s="1918">
        <f t="shared" ref="H9:H41" si="3">L9*N9</f>
        <v>0</v>
      </c>
      <c r="I9" s="1918">
        <f>G10+G20+G35+G48</f>
        <v>1</v>
      </c>
      <c r="J9" s="1918">
        <f>H10+H20+H35+H48</f>
        <v>0</v>
      </c>
      <c r="K9" s="1918">
        <f>IF(スコア!T9=0,0,1)</f>
        <v>1</v>
      </c>
      <c r="L9" s="1918">
        <f>IF(スコア!R9=0,0,1)</f>
        <v>0</v>
      </c>
      <c r="M9" s="1918">
        <f t="shared" ref="M9:M41" si="4">SUMPRODUCT($S$7:$AB$7,S9:AB9)</f>
        <v>0.4</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257</v>
      </c>
      <c r="AH9" s="1921" t="s">
        <v>952</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952</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952</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952</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952</v>
      </c>
      <c r="CZ9" s="1919" t="s">
        <v>258</v>
      </c>
      <c r="DA9" s="2923">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953</v>
      </c>
      <c r="AI10" s="1928" t="s">
        <v>943</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953</v>
      </c>
      <c r="AZ10" s="1928" t="s">
        <v>943</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953</v>
      </c>
      <c r="BQ10" s="1928" t="s">
        <v>943</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953</v>
      </c>
      <c r="CI10" s="1928" t="s">
        <v>943</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953</v>
      </c>
      <c r="CZ10" s="1928" t="s">
        <v>943</v>
      </c>
      <c r="DA10" s="2693">
        <f t="shared" ref="DA10:DA67" si="29">BR10</f>
        <v>0.15</v>
      </c>
      <c r="DB10" s="2693"/>
      <c r="DC10" s="2693"/>
      <c r="DD10" s="2693"/>
      <c r="DE10" s="2693"/>
      <c r="DF10" s="2693"/>
      <c r="DG10" s="2693"/>
      <c r="DH10" s="2903"/>
      <c r="DI10" s="2693"/>
      <c r="DJ10" s="2693"/>
      <c r="DK10" s="2694"/>
      <c r="DL10" s="2693"/>
      <c r="DM10" s="2693"/>
    </row>
    <row r="11" spans="2:117">
      <c r="B11" s="1916">
        <f t="shared" si="0"/>
        <v>1.1000000000000001</v>
      </c>
      <c r="C11" s="1938" t="str">
        <f t="shared" si="1"/>
        <v>室内騒音レベル</v>
      </c>
      <c r="D11" s="1935">
        <f>IF(I$10=0,0,G11/I$10)</f>
        <v>0.4</v>
      </c>
      <c r="E11" s="1935">
        <f>IF(J$10=0,0,H11/J$10)</f>
        <v>0</v>
      </c>
      <c r="G11" s="1936">
        <f>K11*M11</f>
        <v>0.4</v>
      </c>
      <c r="H11" s="1936">
        <f>L11*N11</f>
        <v>0</v>
      </c>
      <c r="I11" s="1926">
        <f>SUM(G12:G13)</f>
        <v>0</v>
      </c>
      <c r="J11" s="1926">
        <f>SUM(H12:H13)</f>
        <v>0</v>
      </c>
      <c r="K11" s="1936">
        <f>IF(スコア!O11=0,0,1)</f>
        <v>1</v>
      </c>
      <c r="L11" s="1936">
        <f>IF(スコア!R11=0,0,1)</f>
        <v>1</v>
      </c>
      <c r="M11" s="1936">
        <f t="shared" si="4"/>
        <v>0.4</v>
      </c>
      <c r="N11" s="1936">
        <f t="shared" si="5"/>
        <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954</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954</v>
      </c>
      <c r="AZ11" s="1942" t="s">
        <v>259</v>
      </c>
      <c r="BA11" s="1944"/>
      <c r="BB11" s="1944"/>
      <c r="BC11" s="1944"/>
      <c r="BD11" s="1944"/>
      <c r="BE11" s="1944"/>
      <c r="BF11" s="1944"/>
      <c r="BG11" s="1944"/>
      <c r="BH11" s="1946">
        <v>0.4</v>
      </c>
      <c r="BI11" s="1944"/>
      <c r="BJ11" s="1944"/>
      <c r="BK11" s="1945"/>
      <c r="BL11" s="1944"/>
      <c r="BM11" s="1944"/>
      <c r="BO11" s="1937">
        <v>1.1000000000000001</v>
      </c>
      <c r="BP11" s="1941" t="s">
        <v>954</v>
      </c>
      <c r="BQ11" s="1942" t="s">
        <v>3426</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954</v>
      </c>
      <c r="CI11" s="1942" t="s">
        <v>957</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954</v>
      </c>
      <c r="CZ11" s="1942" t="s">
        <v>957</v>
      </c>
      <c r="DA11" s="2924">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955</v>
      </c>
      <c r="AH12" s="1941" t="s">
        <v>956</v>
      </c>
      <c r="AI12" s="1942" t="s">
        <v>957</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955</v>
      </c>
      <c r="AY12" s="1941" t="s">
        <v>956</v>
      </c>
      <c r="AZ12" s="1942" t="s">
        <v>957</v>
      </c>
      <c r="BA12" s="1944"/>
      <c r="BB12" s="1944"/>
      <c r="BC12" s="1944"/>
      <c r="BD12" s="1944"/>
      <c r="BE12" s="1944"/>
      <c r="BF12" s="1944"/>
      <c r="BG12" s="1944"/>
      <c r="BH12" s="1946">
        <v>1</v>
      </c>
      <c r="BI12" s="1944"/>
      <c r="BJ12" s="1944"/>
      <c r="BK12" s="1945"/>
      <c r="BL12" s="1944"/>
      <c r="BM12" s="1944"/>
      <c r="BO12" s="1937" t="s">
        <v>955</v>
      </c>
      <c r="BP12" s="1941" t="s">
        <v>956</v>
      </c>
      <c r="BQ12" s="1942"/>
      <c r="BR12" s="1944"/>
      <c r="BS12" s="1944"/>
      <c r="BT12" s="1944"/>
      <c r="BU12" s="1944"/>
      <c r="BV12" s="1944"/>
      <c r="BW12" s="1944"/>
      <c r="BX12" s="1944"/>
      <c r="BY12" s="2454"/>
      <c r="BZ12" s="1944"/>
      <c r="CA12" s="1944"/>
      <c r="CB12" s="1945"/>
      <c r="CC12" s="1944"/>
      <c r="CD12" s="1944"/>
      <c r="CE12" s="2272"/>
      <c r="CG12" s="1937" t="s">
        <v>955</v>
      </c>
      <c r="CH12" s="1941" t="s">
        <v>956</v>
      </c>
      <c r="CI12" s="1942"/>
      <c r="CJ12" s="2706"/>
      <c r="CK12" s="2706"/>
      <c r="CL12" s="2706"/>
      <c r="CM12" s="2706"/>
      <c r="CN12" s="2706"/>
      <c r="CO12" s="2706"/>
      <c r="CP12" s="2706"/>
      <c r="CQ12" s="2707"/>
      <c r="CR12" s="2706"/>
      <c r="CS12" s="2706"/>
      <c r="CT12" s="2708"/>
      <c r="CU12" s="2706"/>
      <c r="CV12" s="2706"/>
      <c r="CX12" s="1937" t="s">
        <v>955</v>
      </c>
      <c r="CY12" s="1941" t="s">
        <v>956</v>
      </c>
      <c r="CZ12" s="1942"/>
      <c r="DA12" s="2924">
        <f t="shared" si="29"/>
        <v>0</v>
      </c>
      <c r="DB12" s="2695"/>
      <c r="DC12" s="2695"/>
      <c r="DD12" s="2695"/>
      <c r="DE12" s="2695"/>
      <c r="DF12" s="2695"/>
      <c r="DG12" s="2695"/>
      <c r="DH12" s="2904"/>
      <c r="DI12" s="2695"/>
      <c r="DJ12" s="2695"/>
      <c r="DK12" s="2905"/>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958</v>
      </c>
      <c r="AH13" s="1941" t="s">
        <v>956</v>
      </c>
      <c r="AI13" s="1942" t="s">
        <v>959</v>
      </c>
      <c r="AJ13" s="1939">
        <v>0.6</v>
      </c>
      <c r="AK13" s="1939"/>
      <c r="AL13" s="1939"/>
      <c r="AM13" s="1939"/>
      <c r="AN13" s="1939">
        <v>0.6</v>
      </c>
      <c r="AO13" s="1939"/>
      <c r="AP13" s="1939"/>
      <c r="AQ13" s="1939"/>
      <c r="AR13" s="1939">
        <v>0.6</v>
      </c>
      <c r="AS13" s="1944"/>
      <c r="AT13" s="1945">
        <v>0.6</v>
      </c>
      <c r="AU13" s="1944"/>
      <c r="AV13" s="1944"/>
      <c r="AX13" s="1937" t="s">
        <v>958</v>
      </c>
      <c r="AY13" s="1941" t="s">
        <v>956</v>
      </c>
      <c r="AZ13" s="1942" t="s">
        <v>959</v>
      </c>
      <c r="BA13" s="1944"/>
      <c r="BB13" s="1944"/>
      <c r="BC13" s="1944"/>
      <c r="BD13" s="1944"/>
      <c r="BE13" s="1944"/>
      <c r="BF13" s="1944"/>
      <c r="BG13" s="1944"/>
      <c r="BH13" s="1946"/>
      <c r="BI13" s="1944"/>
      <c r="BJ13" s="1944"/>
      <c r="BK13" s="1945"/>
      <c r="BL13" s="1944"/>
      <c r="BM13" s="1944"/>
      <c r="BO13" s="1937" t="s">
        <v>958</v>
      </c>
      <c r="BP13" s="1941" t="s">
        <v>956</v>
      </c>
      <c r="BQ13" s="1942"/>
      <c r="BR13" s="1944"/>
      <c r="BS13" s="1944"/>
      <c r="BT13" s="1944"/>
      <c r="BU13" s="1944"/>
      <c r="BV13" s="1944"/>
      <c r="BW13" s="1944"/>
      <c r="BX13" s="1944"/>
      <c r="BY13" s="2454"/>
      <c r="BZ13" s="1944"/>
      <c r="CA13" s="1944"/>
      <c r="CB13" s="1945"/>
      <c r="CC13" s="1944"/>
      <c r="CD13" s="1944"/>
      <c r="CE13" s="2272"/>
      <c r="CG13" s="1937" t="s">
        <v>958</v>
      </c>
      <c r="CH13" s="1941" t="s">
        <v>956</v>
      </c>
      <c r="CI13" s="1942"/>
      <c r="CJ13" s="2706"/>
      <c r="CK13" s="2706"/>
      <c r="CL13" s="2706"/>
      <c r="CM13" s="2706"/>
      <c r="CN13" s="2706"/>
      <c r="CO13" s="2706"/>
      <c r="CP13" s="2706"/>
      <c r="CQ13" s="2707"/>
      <c r="CR13" s="2706"/>
      <c r="CS13" s="2706"/>
      <c r="CT13" s="2708"/>
      <c r="CU13" s="2706"/>
      <c r="CV13" s="2706"/>
      <c r="CX13" s="1937" t="s">
        <v>958</v>
      </c>
      <c r="CY13" s="1941" t="s">
        <v>956</v>
      </c>
      <c r="CZ13" s="1942"/>
      <c r="DA13" s="2924">
        <f t="shared" si="29"/>
        <v>0</v>
      </c>
      <c r="DB13" s="2695"/>
      <c r="DC13" s="2695"/>
      <c r="DD13" s="2695"/>
      <c r="DE13" s="2695"/>
      <c r="DF13" s="2695"/>
      <c r="DG13" s="2695"/>
      <c r="DH13" s="2904"/>
      <c r="DI13" s="2695"/>
      <c r="DJ13" s="2695"/>
      <c r="DK13" s="2905"/>
      <c r="DL13" s="2695"/>
      <c r="DM13" s="2695"/>
    </row>
    <row r="14" spans="2:117">
      <c r="B14" s="1916">
        <f t="shared" si="0"/>
        <v>1.2</v>
      </c>
      <c r="C14" s="2999" t="str">
        <f t="shared" si="1"/>
        <v>遮音</v>
      </c>
      <c r="D14" s="1935">
        <f>IF(I$10=0,0,G14/I$10)</f>
        <v>0.4</v>
      </c>
      <c r="E14" s="1935">
        <f>IF(J$10=0,0,H14/J$10)</f>
        <v>0</v>
      </c>
      <c r="G14" s="1936">
        <f t="shared" si="2"/>
        <v>0.4</v>
      </c>
      <c r="H14" s="1936">
        <f t="shared" si="3"/>
        <v>0</v>
      </c>
      <c r="I14" s="1926">
        <f>SUM(G15:G18)</f>
        <v>1</v>
      </c>
      <c r="J14" s="1926">
        <f>SUM(H15:H18)</f>
        <v>0</v>
      </c>
      <c r="K14" s="1936">
        <f>IF(スコア!O14=0,0,1)</f>
        <v>1</v>
      </c>
      <c r="L14" s="1936">
        <f>IF(スコア!R14=0,0,1)</f>
        <v>0</v>
      </c>
      <c r="M14" s="1936">
        <f t="shared" si="4"/>
        <v>0.4</v>
      </c>
      <c r="N14" s="1936">
        <f t="shared" si="5"/>
        <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954</v>
      </c>
      <c r="AI14" s="1382" t="s">
        <v>2825</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954</v>
      </c>
      <c r="AZ14" s="1382" t="s">
        <v>2825</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954</v>
      </c>
      <c r="BQ14" s="1382" t="s">
        <v>2825</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954</v>
      </c>
      <c r="CI14" s="1382" t="s">
        <v>2825</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954</v>
      </c>
      <c r="CZ14" s="1382" t="s">
        <v>2825</v>
      </c>
      <c r="DA14" s="2924">
        <v>0</v>
      </c>
      <c r="DB14" s="2695"/>
      <c r="DC14" s="2695"/>
      <c r="DD14" s="2695"/>
      <c r="DE14" s="2695"/>
      <c r="DF14" s="2695"/>
      <c r="DG14" s="2695"/>
      <c r="DH14" s="2695"/>
      <c r="DI14" s="2695"/>
      <c r="DJ14" s="2695"/>
      <c r="DK14" s="2695"/>
      <c r="DL14" s="2695"/>
      <c r="DM14" s="2695"/>
    </row>
    <row r="15" spans="2:117">
      <c r="B15" s="1916" t="str">
        <f t="shared" si="0"/>
        <v>1.2.1</v>
      </c>
      <c r="C15" s="2999"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260</v>
      </c>
      <c r="AH15" s="1941" t="s">
        <v>960</v>
      </c>
      <c r="AI15" s="1382" t="s">
        <v>261</v>
      </c>
      <c r="AJ15" s="1949"/>
      <c r="AK15" s="1949"/>
      <c r="AL15" s="1949"/>
      <c r="AM15" s="1949"/>
      <c r="AN15" s="1949"/>
      <c r="AO15" s="1949"/>
      <c r="AP15" s="1949"/>
      <c r="AQ15" s="1949"/>
      <c r="AR15" s="1949"/>
      <c r="AS15" s="1944"/>
      <c r="AT15" s="1945"/>
      <c r="AU15" s="1944"/>
      <c r="AV15" s="1944"/>
      <c r="AX15" s="1937" t="s">
        <v>260</v>
      </c>
      <c r="AY15" s="1941" t="s">
        <v>960</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960</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960</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960</v>
      </c>
      <c r="CZ15" s="1382" t="s">
        <v>261</v>
      </c>
      <c r="DA15" s="2924">
        <v>0</v>
      </c>
      <c r="DB15" s="2695"/>
      <c r="DC15" s="2695"/>
      <c r="DD15" s="2695"/>
      <c r="DE15" s="2695"/>
      <c r="DF15" s="2695"/>
      <c r="DG15" s="2695"/>
      <c r="DH15" s="2904"/>
      <c r="DI15" s="2695"/>
      <c r="DJ15" s="2695"/>
      <c r="DK15" s="2695"/>
      <c r="DL15" s="2695"/>
      <c r="DM15" s="2695"/>
    </row>
    <row r="16" spans="2:117">
      <c r="B16" s="1916" t="str">
        <f t="shared" si="0"/>
        <v>1.2.2</v>
      </c>
      <c r="C16" s="2999"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262</v>
      </c>
      <c r="AH16" s="1941" t="s">
        <v>960</v>
      </c>
      <c r="AI16" s="1382" t="s">
        <v>737</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960</v>
      </c>
      <c r="AZ16" s="1382" t="s">
        <v>737</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960</v>
      </c>
      <c r="BQ16" s="1382" t="s">
        <v>737</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960</v>
      </c>
      <c r="CI16" s="1382" t="s">
        <v>737</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960</v>
      </c>
      <c r="CZ16" s="1382" t="s">
        <v>737</v>
      </c>
      <c r="DA16" s="2924">
        <v>0</v>
      </c>
      <c r="DB16" s="2695"/>
      <c r="DC16" s="2695"/>
      <c r="DD16" s="2695"/>
      <c r="DE16" s="2695"/>
      <c r="DF16" s="2695"/>
      <c r="DG16" s="2695"/>
      <c r="DH16" s="2904"/>
      <c r="DI16" s="2695"/>
      <c r="DJ16" s="2695"/>
      <c r="DK16" s="2695"/>
      <c r="DL16" s="2695"/>
      <c r="DM16" s="2695"/>
    </row>
    <row r="17" spans="2:117">
      <c r="B17" s="1916" t="str">
        <f t="shared" si="0"/>
        <v>1.2.3</v>
      </c>
      <c r="C17" s="2999"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263</v>
      </c>
      <c r="AH17" s="1941" t="s">
        <v>960</v>
      </c>
      <c r="AI17" s="1382" t="s">
        <v>738</v>
      </c>
      <c r="AJ17" s="1944"/>
      <c r="AK17" s="1944">
        <v>0.3</v>
      </c>
      <c r="AL17" s="1944"/>
      <c r="AM17" s="1944"/>
      <c r="AN17" s="1950">
        <v>0.6</v>
      </c>
      <c r="AO17" s="1944"/>
      <c r="AP17" s="1944"/>
      <c r="AQ17" s="1951"/>
      <c r="AR17" s="1944"/>
      <c r="AS17" s="1944">
        <v>0.3</v>
      </c>
      <c r="AT17" s="1945"/>
      <c r="AU17" s="1944">
        <v>0.3</v>
      </c>
      <c r="AV17" s="1944">
        <v>0.3</v>
      </c>
      <c r="AX17" s="1937" t="s">
        <v>263</v>
      </c>
      <c r="AY17" s="1941" t="s">
        <v>960</v>
      </c>
      <c r="AZ17" s="1382" t="s">
        <v>738</v>
      </c>
      <c r="BA17" s="1944"/>
      <c r="BB17" s="1944">
        <v>0.15</v>
      </c>
      <c r="BC17" s="1944"/>
      <c r="BD17" s="1944"/>
      <c r="BE17" s="1944"/>
      <c r="BF17" s="1944"/>
      <c r="BG17" s="1944"/>
      <c r="BH17" s="1946"/>
      <c r="BI17" s="1944"/>
      <c r="BJ17" s="1944">
        <v>0.15</v>
      </c>
      <c r="BK17" s="1945">
        <v>0.2</v>
      </c>
      <c r="BL17" s="1944">
        <v>0.2</v>
      </c>
      <c r="BM17" s="1944">
        <v>0.2</v>
      </c>
      <c r="BO17" s="1937" t="s">
        <v>263</v>
      </c>
      <c r="BP17" s="1941" t="s">
        <v>960</v>
      </c>
      <c r="BQ17" s="1382" t="s">
        <v>738</v>
      </c>
      <c r="BR17" s="1944"/>
      <c r="BS17" s="1944">
        <v>0.2</v>
      </c>
      <c r="BT17" s="1944"/>
      <c r="BU17" s="1944"/>
      <c r="BV17" s="1944"/>
      <c r="BW17" s="1944"/>
      <c r="BX17" s="1944"/>
      <c r="BY17" s="2456"/>
      <c r="BZ17" s="1944"/>
      <c r="CA17" s="1944">
        <v>0.2</v>
      </c>
      <c r="CB17" s="1945">
        <v>0.2</v>
      </c>
      <c r="CC17" s="1944">
        <v>0.2</v>
      </c>
      <c r="CD17" s="1944">
        <v>0.2</v>
      </c>
      <c r="CE17" s="2272"/>
      <c r="CG17" s="1937" t="s">
        <v>263</v>
      </c>
      <c r="CH17" s="1941" t="s">
        <v>960</v>
      </c>
      <c r="CI17" s="1382" t="s">
        <v>738</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960</v>
      </c>
      <c r="CZ17" s="1382" t="s">
        <v>738</v>
      </c>
      <c r="DA17" s="2924">
        <v>0</v>
      </c>
      <c r="DB17" s="2695"/>
      <c r="DC17" s="2695"/>
      <c r="DD17" s="2695"/>
      <c r="DE17" s="2695"/>
      <c r="DF17" s="2695"/>
      <c r="DG17" s="2695"/>
      <c r="DH17" s="2904"/>
      <c r="DI17" s="2695"/>
      <c r="DJ17" s="2695"/>
      <c r="DK17" s="2905"/>
      <c r="DL17" s="2695"/>
      <c r="DM17" s="2695"/>
    </row>
    <row r="18" spans="2:117">
      <c r="B18" s="1916" t="str">
        <f t="shared" si="0"/>
        <v>1.2.4</v>
      </c>
      <c r="C18" s="2999"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264</v>
      </c>
      <c r="AH18" s="1941" t="s">
        <v>960</v>
      </c>
      <c r="AI18" s="1382" t="s">
        <v>739</v>
      </c>
      <c r="AJ18" s="1944"/>
      <c r="AK18" s="1944">
        <v>0.3</v>
      </c>
      <c r="AL18" s="1944"/>
      <c r="AM18" s="1944"/>
      <c r="AN18" s="1944"/>
      <c r="AO18" s="1944"/>
      <c r="AP18" s="1944"/>
      <c r="AQ18" s="1951"/>
      <c r="AR18" s="1944"/>
      <c r="AS18" s="1944">
        <v>0.3</v>
      </c>
      <c r="AT18" s="1945"/>
      <c r="AU18" s="1944">
        <v>0.3</v>
      </c>
      <c r="AV18" s="1944">
        <v>0.3</v>
      </c>
      <c r="AX18" s="1937" t="s">
        <v>264</v>
      </c>
      <c r="AY18" s="1941" t="s">
        <v>960</v>
      </c>
      <c r="AZ18" s="1382" t="s">
        <v>739</v>
      </c>
      <c r="BA18" s="1944"/>
      <c r="BB18" s="1944">
        <v>0.15</v>
      </c>
      <c r="BC18" s="1944"/>
      <c r="BD18" s="1944"/>
      <c r="BE18" s="1944"/>
      <c r="BF18" s="1944"/>
      <c r="BG18" s="1944"/>
      <c r="BH18" s="1946"/>
      <c r="BI18" s="1944"/>
      <c r="BJ18" s="1944">
        <v>0.15</v>
      </c>
      <c r="BK18" s="1945">
        <v>0.2</v>
      </c>
      <c r="BL18" s="1944">
        <v>0.2</v>
      </c>
      <c r="BM18" s="1944">
        <v>0.2</v>
      </c>
      <c r="BO18" s="1937" t="s">
        <v>264</v>
      </c>
      <c r="BP18" s="1941" t="s">
        <v>960</v>
      </c>
      <c r="BQ18" s="1382" t="s">
        <v>739</v>
      </c>
      <c r="BR18" s="1944"/>
      <c r="BS18" s="1944">
        <v>0.2</v>
      </c>
      <c r="BT18" s="1944"/>
      <c r="BU18" s="1944"/>
      <c r="BV18" s="1944"/>
      <c r="BW18" s="1944"/>
      <c r="BX18" s="1944"/>
      <c r="BY18" s="2456"/>
      <c r="BZ18" s="1944"/>
      <c r="CA18" s="1944">
        <v>0.2</v>
      </c>
      <c r="CB18" s="1945">
        <v>0.2</v>
      </c>
      <c r="CC18" s="1944">
        <v>0.2</v>
      </c>
      <c r="CD18" s="1944">
        <v>0.2</v>
      </c>
      <c r="CE18" s="2272"/>
      <c r="CG18" s="1937" t="s">
        <v>264</v>
      </c>
      <c r="CH18" s="1941" t="s">
        <v>960</v>
      </c>
      <c r="CI18" s="1382" t="s">
        <v>739</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960</v>
      </c>
      <c r="CZ18" s="1382" t="s">
        <v>739</v>
      </c>
      <c r="DA18" s="2924">
        <v>0</v>
      </c>
      <c r="DB18" s="2695"/>
      <c r="DC18" s="2695"/>
      <c r="DD18" s="2695"/>
      <c r="DE18" s="2695"/>
      <c r="DF18" s="2695"/>
      <c r="DG18" s="2695"/>
      <c r="DH18" s="2904"/>
      <c r="DI18" s="2695"/>
      <c r="DJ18" s="2695"/>
      <c r="DK18" s="2905"/>
      <c r="DL18" s="2695"/>
      <c r="DM18" s="2695"/>
    </row>
    <row r="19" spans="2:117">
      <c r="B19" s="1916">
        <f t="shared" si="0"/>
        <v>1.3</v>
      </c>
      <c r="C19" s="2999" t="str">
        <f t="shared" si="1"/>
        <v>吸音</v>
      </c>
      <c r="D19" s="1935">
        <f>IF(I$10=0,0,G19/I$10)</f>
        <v>0.2</v>
      </c>
      <c r="E19" s="1935">
        <f>IF(J$10=0,0,H19/J$10)</f>
        <v>0</v>
      </c>
      <c r="G19" s="1936">
        <f t="shared" si="2"/>
        <v>0.2</v>
      </c>
      <c r="H19" s="1936">
        <f t="shared" si="3"/>
        <v>0</v>
      </c>
      <c r="I19" s="1936"/>
      <c r="J19" s="1936"/>
      <c r="K19" s="1936">
        <f>IF(スコア!O19=0,0,1)</f>
        <v>1</v>
      </c>
      <c r="L19" s="1936">
        <f>IF(スコア!R19=0,0,1)</f>
        <v>1</v>
      </c>
      <c r="M19" s="1936">
        <f t="shared" si="4"/>
        <v>0.2</v>
      </c>
      <c r="N19" s="1936">
        <f t="shared" si="5"/>
        <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954</v>
      </c>
      <c r="AI19" s="1382" t="s">
        <v>740</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954</v>
      </c>
      <c r="AZ19" s="1382" t="s">
        <v>740</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954</v>
      </c>
      <c r="BQ19" s="1382" t="s">
        <v>740</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954</v>
      </c>
      <c r="CI19" s="1382" t="s">
        <v>740</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954</v>
      </c>
      <c r="CZ19" s="1382" t="s">
        <v>740</v>
      </c>
      <c r="DA19" s="2924">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953</v>
      </c>
      <c r="AI20" s="1953" t="s">
        <v>946</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953</v>
      </c>
      <c r="AZ20" s="1953" t="s">
        <v>946</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953</v>
      </c>
      <c r="BQ20" s="1953" t="s">
        <v>946</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953</v>
      </c>
      <c r="CI20" s="1953" t="s">
        <v>946</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953</v>
      </c>
      <c r="CZ20" s="1953" t="s">
        <v>946</v>
      </c>
      <c r="DA20" s="2693">
        <f t="shared" si="29"/>
        <v>0.35</v>
      </c>
      <c r="DB20" s="2693"/>
      <c r="DC20" s="2693"/>
      <c r="DD20" s="2693"/>
      <c r="DE20" s="2693"/>
      <c r="DF20" s="2693"/>
      <c r="DG20" s="2693"/>
      <c r="DH20" s="2906"/>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961</v>
      </c>
      <c r="AI21" s="1938" t="s">
        <v>742</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961</v>
      </c>
      <c r="AZ21" s="1938" t="s">
        <v>742</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961</v>
      </c>
      <c r="BQ21" s="1938" t="s">
        <v>742</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961</v>
      </c>
      <c r="CI21" s="1938" t="s">
        <v>742</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961</v>
      </c>
      <c r="CZ21" s="1938" t="s">
        <v>742</v>
      </c>
      <c r="DA21" s="2695">
        <f t="shared" si="29"/>
        <v>0.5</v>
      </c>
      <c r="DB21" s="2695"/>
      <c r="DC21" s="2695"/>
      <c r="DD21" s="2695"/>
      <c r="DE21" s="2695"/>
      <c r="DF21" s="2695"/>
      <c r="DG21" s="2695"/>
      <c r="DH21" s="2907"/>
      <c r="DI21" s="2695"/>
      <c r="DJ21" s="2695"/>
      <c r="DK21" s="2905"/>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265</v>
      </c>
      <c r="AH22" s="1941" t="s">
        <v>510</v>
      </c>
      <c r="AI22" s="1942" t="s">
        <v>511</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510</v>
      </c>
      <c r="AZ22" s="1942" t="s">
        <v>921</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510</v>
      </c>
      <c r="BQ22" s="1942" t="s">
        <v>921</v>
      </c>
      <c r="BR22" s="2925">
        <f>0.3/(0.3+0.2+0.3)</f>
        <v>0.37499999999999994</v>
      </c>
      <c r="BS22" s="2925">
        <f>0.3/(0.3+0.2)</f>
        <v>0.6</v>
      </c>
      <c r="BT22" s="2925">
        <f>0.3/(0.3+0.1+0.2)</f>
        <v>0.49999999999999989</v>
      </c>
      <c r="BU22" s="2925">
        <f>0.3/(0.3+0.1+0.2)</f>
        <v>0.49999999999999989</v>
      </c>
      <c r="BV22" s="2925">
        <f>0.3/(0.3+0.2+0.3)</f>
        <v>0.37499999999999994</v>
      </c>
      <c r="BW22" s="2925">
        <f>0.3/(0.3+0.2+0.3)</f>
        <v>0.37499999999999994</v>
      </c>
      <c r="BX22" s="2925">
        <f>0.5/(0.5+0.3)</f>
        <v>0.625</v>
      </c>
      <c r="BY22" s="2925">
        <f>0.3/(0.3+0.2+0.3)</f>
        <v>0.37499999999999994</v>
      </c>
      <c r="BZ22" s="2925">
        <f>0.3/(0.3+0.2+0.3)</f>
        <v>0.37499999999999994</v>
      </c>
      <c r="CA22" s="2925">
        <f>0.3/(0.3+0.2)</f>
        <v>0.6</v>
      </c>
      <c r="CB22" s="2925">
        <f>0.4/(0.4+0.3)</f>
        <v>0.57142857142857151</v>
      </c>
      <c r="CC22" s="2925">
        <f>0.4/(0.4+0.3)</f>
        <v>0.57142857142857151</v>
      </c>
      <c r="CD22" s="2925">
        <f>0.5/(0.5+0.3)</f>
        <v>0.625</v>
      </c>
      <c r="CE22" s="2272"/>
      <c r="CG22" s="1937" t="s">
        <v>265</v>
      </c>
      <c r="CH22" s="1941" t="s">
        <v>510</v>
      </c>
      <c r="CI22" s="1942" t="s">
        <v>921</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510</v>
      </c>
      <c r="CZ22" s="1942" t="s">
        <v>921</v>
      </c>
      <c r="DA22" s="2695">
        <f t="shared" si="29"/>
        <v>0.37499999999999994</v>
      </c>
      <c r="DB22" s="2695"/>
      <c r="DC22" s="2695"/>
      <c r="DD22" s="2695"/>
      <c r="DE22" s="2695"/>
      <c r="DF22" s="2695"/>
      <c r="DG22" s="2695"/>
      <c r="DH22" s="2907"/>
      <c r="DI22" s="2695"/>
      <c r="DJ22" s="2695"/>
      <c r="DK22" s="2905"/>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512</v>
      </c>
      <c r="AH23" s="1941" t="s">
        <v>510</v>
      </c>
      <c r="AI23" s="1942" t="s">
        <v>513</v>
      </c>
      <c r="AJ23" s="1949"/>
      <c r="AK23" s="1949">
        <v>0.2</v>
      </c>
      <c r="AL23" s="1949">
        <v>0.2</v>
      </c>
      <c r="AM23" s="1949">
        <v>0.2</v>
      </c>
      <c r="AN23" s="1949"/>
      <c r="AO23" s="1949"/>
      <c r="AP23" s="1949"/>
      <c r="AQ23" s="1956">
        <v>0.3</v>
      </c>
      <c r="AR23" s="1949"/>
      <c r="AS23" s="1944">
        <v>0.2</v>
      </c>
      <c r="AT23" s="1945"/>
      <c r="AU23" s="1944"/>
      <c r="AV23" s="1944"/>
      <c r="AX23" s="1937" t="s">
        <v>512</v>
      </c>
      <c r="AY23" s="1941" t="s">
        <v>510</v>
      </c>
      <c r="AZ23" s="1942" t="s">
        <v>513</v>
      </c>
      <c r="BA23" s="1957"/>
      <c r="BB23" s="1944"/>
      <c r="BC23" s="1944"/>
      <c r="BD23" s="1944"/>
      <c r="BE23" s="1944"/>
      <c r="BF23" s="1944"/>
      <c r="BG23" s="1944"/>
      <c r="BH23" s="1946"/>
      <c r="BI23" s="1957"/>
      <c r="BJ23" s="1944"/>
      <c r="BK23" s="1945"/>
      <c r="BL23" s="1944"/>
      <c r="BM23" s="1944"/>
      <c r="BO23" s="1937" t="s">
        <v>512</v>
      </c>
      <c r="BP23" s="1941" t="s">
        <v>510</v>
      </c>
      <c r="BQ23" s="1942"/>
      <c r="BR23" s="1957"/>
      <c r="BS23" s="1944"/>
      <c r="BT23" s="1944"/>
      <c r="BU23" s="1944"/>
      <c r="BV23" s="1957"/>
      <c r="BW23" s="1957"/>
      <c r="BX23" s="1944"/>
      <c r="BY23" s="1957"/>
      <c r="BZ23" s="1957"/>
      <c r="CA23" s="1944"/>
      <c r="CB23" s="1945"/>
      <c r="CC23" s="1945"/>
      <c r="CD23" s="1944"/>
      <c r="CE23" s="2272"/>
      <c r="CG23" s="1937" t="s">
        <v>512</v>
      </c>
      <c r="CH23" s="1941" t="s">
        <v>510</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512</v>
      </c>
      <c r="CY23" s="1941" t="s">
        <v>510</v>
      </c>
      <c r="CZ23" s="1942"/>
      <c r="DA23" s="2695">
        <f t="shared" si="29"/>
        <v>0</v>
      </c>
      <c r="DB23" s="2695"/>
      <c r="DC23" s="2695"/>
      <c r="DD23" s="2695"/>
      <c r="DE23" s="2695"/>
      <c r="DF23" s="2695"/>
      <c r="DG23" s="2695"/>
      <c r="DH23" s="2907"/>
      <c r="DI23" s="2908"/>
      <c r="DJ23" s="2695"/>
      <c r="DK23" s="2905"/>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514</v>
      </c>
      <c r="AH24" s="1941" t="s">
        <v>510</v>
      </c>
      <c r="AI24" s="1942" t="s">
        <v>515</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514</v>
      </c>
      <c r="AY24" s="1941" t="s">
        <v>510</v>
      </c>
      <c r="AZ24" s="1942" t="s">
        <v>515</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514</v>
      </c>
      <c r="BP24" s="1941" t="s">
        <v>510</v>
      </c>
      <c r="BQ24" s="1942" t="s">
        <v>515</v>
      </c>
      <c r="BR24" s="2925">
        <f>0.2/(0.3+0.2+0.3)</f>
        <v>0.25</v>
      </c>
      <c r="BS24" s="2925">
        <f>0.2/(0.3+0.2)</f>
        <v>0.4</v>
      </c>
      <c r="BT24" s="2925">
        <f>0.1/(0.3+0.1+0.2)</f>
        <v>0.16666666666666666</v>
      </c>
      <c r="BU24" s="2925">
        <f>0.1/(0.3+0.1+0.2)</f>
        <v>0.16666666666666666</v>
      </c>
      <c r="BV24" s="2925">
        <f>0.2/(0.3+0.2+0.3)</f>
        <v>0.25</v>
      </c>
      <c r="BW24" s="2925">
        <f>0.2/(0.3+0.2+0.3)</f>
        <v>0.25</v>
      </c>
      <c r="BX24" s="2925">
        <f>0.3/(0.5+0.3)</f>
        <v>0.37499999999999994</v>
      </c>
      <c r="BY24" s="2925">
        <f>0.2/(0.3+0.2+0.3)</f>
        <v>0.25</v>
      </c>
      <c r="BZ24" s="2925">
        <f>0.2/(0.3+0.2+0.3)</f>
        <v>0.25</v>
      </c>
      <c r="CA24" s="2925">
        <f>0.2/(0.3+0.2)</f>
        <v>0.4</v>
      </c>
      <c r="CB24" s="2925">
        <f>0.3/(0.4+0.3)</f>
        <v>0.4285714285714286</v>
      </c>
      <c r="CC24" s="2925">
        <f>0.3/(0.4+0.3)</f>
        <v>0.4285714285714286</v>
      </c>
      <c r="CD24" s="2925">
        <f>0.3/(0.5+0.3)</f>
        <v>0.37499999999999994</v>
      </c>
      <c r="CE24" s="2272"/>
      <c r="CG24" s="1937" t="s">
        <v>514</v>
      </c>
      <c r="CH24" s="1941" t="s">
        <v>510</v>
      </c>
      <c r="CI24" s="1942" t="s">
        <v>515</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514</v>
      </c>
      <c r="CY24" s="1941" t="s">
        <v>510</v>
      </c>
      <c r="CZ24" s="1942" t="s">
        <v>515</v>
      </c>
      <c r="DA24" s="2695">
        <f t="shared" si="29"/>
        <v>0.25</v>
      </c>
      <c r="DB24" s="2695"/>
      <c r="DC24" s="2695"/>
      <c r="DD24" s="2695"/>
      <c r="DE24" s="2695"/>
      <c r="DF24" s="2695"/>
      <c r="DG24" s="2695"/>
      <c r="DH24" s="2907"/>
      <c r="DI24" s="2695"/>
      <c r="DJ24" s="2695"/>
      <c r="DK24" s="2905"/>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2523</v>
      </c>
      <c r="AH25" s="1941" t="s">
        <v>510</v>
      </c>
      <c r="AI25" s="1942" t="s">
        <v>2524</v>
      </c>
      <c r="AJ25" s="1939">
        <v>0.3</v>
      </c>
      <c r="AK25" s="1939"/>
      <c r="AL25" s="1939">
        <v>0.2</v>
      </c>
      <c r="AM25" s="1939">
        <v>0.2</v>
      </c>
      <c r="AN25" s="1939">
        <v>0.3</v>
      </c>
      <c r="AO25" s="1939">
        <v>0.3</v>
      </c>
      <c r="AP25" s="1939"/>
      <c r="AQ25" s="1955">
        <v>0.2</v>
      </c>
      <c r="AR25" s="1939">
        <v>0.3</v>
      </c>
      <c r="AS25" s="1944">
        <v>0</v>
      </c>
      <c r="AT25" s="1945"/>
      <c r="AU25" s="1944"/>
      <c r="AV25" s="1944"/>
      <c r="AX25" s="1937" t="s">
        <v>2523</v>
      </c>
      <c r="AY25" s="1941" t="s">
        <v>510</v>
      </c>
      <c r="AZ25" s="1942" t="s">
        <v>2524</v>
      </c>
      <c r="BA25" s="1944">
        <v>0.5</v>
      </c>
      <c r="BB25" s="1944"/>
      <c r="BC25" s="1944">
        <v>0.5</v>
      </c>
      <c r="BD25" s="1944">
        <v>0.5</v>
      </c>
      <c r="BE25" s="1944">
        <v>0.5</v>
      </c>
      <c r="BF25" s="1944">
        <v>0.5</v>
      </c>
      <c r="BG25" s="1944"/>
      <c r="BH25" s="1946">
        <v>0.5</v>
      </c>
      <c r="BI25" s="1944">
        <v>0.5</v>
      </c>
      <c r="BJ25" s="1944"/>
      <c r="BK25" s="1945"/>
      <c r="BL25" s="1944"/>
      <c r="BM25" s="1944"/>
      <c r="BO25" s="1937" t="s">
        <v>2523</v>
      </c>
      <c r="BP25" s="1941" t="s">
        <v>510</v>
      </c>
      <c r="BQ25" s="1942" t="s">
        <v>2524</v>
      </c>
      <c r="BR25" s="2925">
        <f>0.3/(0.3+0.2+0.3)</f>
        <v>0.37499999999999994</v>
      </c>
      <c r="BS25" s="1944"/>
      <c r="BT25" s="2925">
        <f>0.2/(0.3+0.1+0.2)</f>
        <v>0.33333333333333331</v>
      </c>
      <c r="BU25" s="2925">
        <f>0.2/(0.3+0.1+0.2)</f>
        <v>0.33333333333333331</v>
      </c>
      <c r="BV25" s="2925">
        <f>0.3/(0.3+0.2+0.3)</f>
        <v>0.37499999999999994</v>
      </c>
      <c r="BW25" s="2925">
        <f>0.3/(0.3+0.2+0.3)</f>
        <v>0.37499999999999994</v>
      </c>
      <c r="BX25" s="1944"/>
      <c r="BY25" s="2925">
        <f>0.3/(0.3+0.2+0.3)</f>
        <v>0.37499999999999994</v>
      </c>
      <c r="BZ25" s="2925">
        <f>0.3/(0.3+0.2+0.3)</f>
        <v>0.37499999999999994</v>
      </c>
      <c r="CA25" s="1944"/>
      <c r="CB25" s="1945"/>
      <c r="CC25" s="1944"/>
      <c r="CD25" s="1944"/>
      <c r="CE25" s="2272"/>
      <c r="CG25" s="1937" t="s">
        <v>2523</v>
      </c>
      <c r="CH25" s="1941" t="s">
        <v>510</v>
      </c>
      <c r="CI25" s="1942" t="s">
        <v>2524</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2523</v>
      </c>
      <c r="CY25" s="1941" t="s">
        <v>510</v>
      </c>
      <c r="CZ25" s="1942" t="s">
        <v>2524</v>
      </c>
      <c r="DA25" s="2695">
        <f t="shared" si="29"/>
        <v>0.37499999999999994</v>
      </c>
      <c r="DB25" s="2695"/>
      <c r="DC25" s="2695"/>
      <c r="DD25" s="2695"/>
      <c r="DE25" s="2695"/>
      <c r="DF25" s="2695"/>
      <c r="DG25" s="2695"/>
      <c r="DH25" s="2907"/>
      <c r="DI25" s="2695"/>
      <c r="DJ25" s="2695"/>
      <c r="DK25" s="2905"/>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2525</v>
      </c>
      <c r="AH26" s="1941" t="s">
        <v>510</v>
      </c>
      <c r="AI26" s="1942" t="s">
        <v>2526</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2525</v>
      </c>
      <c r="AY26" s="1941" t="s">
        <v>510</v>
      </c>
      <c r="AZ26" s="1942" t="s">
        <v>2526</v>
      </c>
      <c r="BA26" s="1944"/>
      <c r="BB26" s="1944"/>
      <c r="BC26" s="1944"/>
      <c r="BD26" s="1944"/>
      <c r="BE26" s="1944"/>
      <c r="BF26" s="1944"/>
      <c r="BG26" s="1944"/>
      <c r="BH26" s="1946"/>
      <c r="BI26" s="1944"/>
      <c r="BJ26" s="1944"/>
      <c r="BK26" s="1945"/>
      <c r="BL26" s="1944"/>
      <c r="BM26" s="1944"/>
      <c r="BO26" s="1937" t="s">
        <v>2525</v>
      </c>
      <c r="BP26" s="1941" t="s">
        <v>510</v>
      </c>
      <c r="BQ26" s="1942"/>
      <c r="BR26" s="1944"/>
      <c r="BS26" s="1944"/>
      <c r="BT26" s="1944"/>
      <c r="BU26" s="1944"/>
      <c r="BV26" s="1944"/>
      <c r="BW26" s="1944"/>
      <c r="BX26" s="1944"/>
      <c r="BY26" s="2458"/>
      <c r="BZ26" s="1944"/>
      <c r="CA26" s="1944"/>
      <c r="CB26" s="1945"/>
      <c r="CC26" s="1944"/>
      <c r="CD26" s="1944"/>
      <c r="CE26" s="2272"/>
      <c r="CG26" s="1937" t="s">
        <v>2525</v>
      </c>
      <c r="CH26" s="1941" t="s">
        <v>510</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2525</v>
      </c>
      <c r="CY26" s="1941" t="s">
        <v>510</v>
      </c>
      <c r="CZ26" s="1942"/>
      <c r="DA26" s="2695">
        <f t="shared" si="29"/>
        <v>0</v>
      </c>
      <c r="DB26" s="2695"/>
      <c r="DC26" s="2695"/>
      <c r="DD26" s="2695"/>
      <c r="DE26" s="2695"/>
      <c r="DF26" s="2695"/>
      <c r="DG26" s="2695"/>
      <c r="DH26" s="2907"/>
      <c r="DI26" s="2695"/>
      <c r="DJ26" s="2695"/>
      <c r="DK26" s="2905"/>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2527</v>
      </c>
      <c r="AH27" s="1941" t="s">
        <v>510</v>
      </c>
      <c r="AI27" s="1942" t="s">
        <v>2528</v>
      </c>
      <c r="AJ27" s="1949"/>
      <c r="AK27" s="1949"/>
      <c r="AL27" s="1949"/>
      <c r="AM27" s="1949"/>
      <c r="AN27" s="1949"/>
      <c r="AO27" s="1949"/>
      <c r="AP27" s="1949"/>
      <c r="AQ27" s="1956"/>
      <c r="AR27" s="1949"/>
      <c r="AS27" s="1944">
        <v>0</v>
      </c>
      <c r="AT27" s="1945">
        <v>0.2</v>
      </c>
      <c r="AU27" s="1944">
        <v>0.2</v>
      </c>
      <c r="AV27" s="1944">
        <v>0.4</v>
      </c>
      <c r="AX27" s="1937" t="s">
        <v>2527</v>
      </c>
      <c r="AY27" s="1941" t="s">
        <v>510</v>
      </c>
      <c r="AZ27" s="1942" t="s">
        <v>2528</v>
      </c>
      <c r="BA27" s="1944"/>
      <c r="BB27" s="1944"/>
      <c r="BC27" s="1944"/>
      <c r="BD27" s="1944"/>
      <c r="BE27" s="1944"/>
      <c r="BF27" s="1944"/>
      <c r="BG27" s="1944"/>
      <c r="BH27" s="1946"/>
      <c r="BI27" s="1944"/>
      <c r="BJ27" s="1944"/>
      <c r="BK27" s="1945"/>
      <c r="BL27" s="1944"/>
      <c r="BM27" s="1944"/>
      <c r="BO27" s="1937" t="s">
        <v>2527</v>
      </c>
      <c r="BP27" s="1941" t="s">
        <v>510</v>
      </c>
      <c r="BQ27" s="1942"/>
      <c r="BR27" s="1944"/>
      <c r="BS27" s="1944"/>
      <c r="BT27" s="1944"/>
      <c r="BU27" s="1944"/>
      <c r="BV27" s="1944"/>
      <c r="BW27" s="1944"/>
      <c r="BX27" s="1944"/>
      <c r="BY27" s="2458"/>
      <c r="BZ27" s="1944"/>
      <c r="CA27" s="1944"/>
      <c r="CB27" s="1945"/>
      <c r="CC27" s="1944"/>
      <c r="CD27" s="1944"/>
      <c r="CE27" s="2272"/>
      <c r="CG27" s="1937" t="s">
        <v>2527</v>
      </c>
      <c r="CH27" s="1941" t="s">
        <v>510</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2527</v>
      </c>
      <c r="CY27" s="1941" t="s">
        <v>510</v>
      </c>
      <c r="CZ27" s="1942"/>
      <c r="DA27" s="2695">
        <f t="shared" si="29"/>
        <v>0</v>
      </c>
      <c r="DB27" s="2695"/>
      <c r="DC27" s="2695"/>
      <c r="DD27" s="2695"/>
      <c r="DE27" s="2695"/>
      <c r="DF27" s="2695"/>
      <c r="DG27" s="2695"/>
      <c r="DH27" s="2907"/>
      <c r="DI27" s="2695"/>
      <c r="DJ27" s="2695"/>
      <c r="DK27" s="2905"/>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2529</v>
      </c>
      <c r="AH28" s="1941" t="s">
        <v>510</v>
      </c>
      <c r="AI28" s="1942" t="s">
        <v>2530</v>
      </c>
      <c r="AJ28" s="1949">
        <v>0.1</v>
      </c>
      <c r="AK28" s="1949">
        <v>0.2</v>
      </c>
      <c r="AL28" s="1949"/>
      <c r="AM28" s="1949"/>
      <c r="AN28" s="1949">
        <v>0.1</v>
      </c>
      <c r="AO28" s="1949">
        <v>0.1</v>
      </c>
      <c r="AP28" s="1949"/>
      <c r="AQ28" s="1956"/>
      <c r="AR28" s="1949">
        <v>0.1</v>
      </c>
      <c r="AS28" s="1944">
        <v>0.2</v>
      </c>
      <c r="AT28" s="1945"/>
      <c r="AU28" s="1944"/>
      <c r="AV28" s="1944"/>
      <c r="AX28" s="1937" t="s">
        <v>2529</v>
      </c>
      <c r="AY28" s="1941" t="s">
        <v>510</v>
      </c>
      <c r="AZ28" s="1942" t="s">
        <v>2530</v>
      </c>
      <c r="BA28" s="1944"/>
      <c r="BB28" s="1944"/>
      <c r="BC28" s="1944"/>
      <c r="BD28" s="1944"/>
      <c r="BE28" s="1944"/>
      <c r="BF28" s="1944"/>
      <c r="BG28" s="1944"/>
      <c r="BH28" s="1946"/>
      <c r="BI28" s="1944"/>
      <c r="BJ28" s="1944"/>
      <c r="BK28" s="1945"/>
      <c r="BL28" s="1944"/>
      <c r="BM28" s="1944"/>
      <c r="BO28" s="1937" t="s">
        <v>2529</v>
      </c>
      <c r="BP28" s="1941" t="s">
        <v>510</v>
      </c>
      <c r="BQ28" s="1942"/>
      <c r="BR28" s="1944"/>
      <c r="BS28" s="1944"/>
      <c r="BT28" s="1944"/>
      <c r="BU28" s="1944"/>
      <c r="BV28" s="1944"/>
      <c r="BW28" s="1944"/>
      <c r="BX28" s="1944"/>
      <c r="BY28" s="2458"/>
      <c r="BZ28" s="1944"/>
      <c r="CA28" s="1944"/>
      <c r="CB28" s="1945"/>
      <c r="CC28" s="1944"/>
      <c r="CD28" s="1944"/>
      <c r="CE28" s="2272"/>
      <c r="CG28" s="1937" t="s">
        <v>2529</v>
      </c>
      <c r="CH28" s="1941" t="s">
        <v>510</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2529</v>
      </c>
      <c r="CY28" s="1941" t="s">
        <v>510</v>
      </c>
      <c r="CZ28" s="1942"/>
      <c r="DA28" s="2695">
        <f t="shared" si="29"/>
        <v>0</v>
      </c>
      <c r="DB28" s="2695"/>
      <c r="DC28" s="2695"/>
      <c r="DD28" s="2695"/>
      <c r="DE28" s="2695"/>
      <c r="DF28" s="2695"/>
      <c r="DG28" s="2695"/>
      <c r="DH28" s="2907"/>
      <c r="DI28" s="2695"/>
      <c r="DJ28" s="2695"/>
      <c r="DK28" s="2905"/>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2531</v>
      </c>
      <c r="AH29" s="1941" t="s">
        <v>510</v>
      </c>
      <c r="AI29" s="1942" t="s">
        <v>2532</v>
      </c>
      <c r="AJ29" s="1949"/>
      <c r="AK29" s="1949"/>
      <c r="AL29" s="1949">
        <v>0.1</v>
      </c>
      <c r="AM29" s="1949">
        <v>0.1</v>
      </c>
      <c r="AN29" s="1949"/>
      <c r="AO29" s="1949"/>
      <c r="AP29" s="1949"/>
      <c r="AQ29" s="1956"/>
      <c r="AR29" s="1949"/>
      <c r="AS29" s="1944">
        <v>0</v>
      </c>
      <c r="AT29" s="1945"/>
      <c r="AU29" s="1944"/>
      <c r="AV29" s="1944"/>
      <c r="AX29" s="1937" t="s">
        <v>2531</v>
      </c>
      <c r="AY29" s="1941" t="s">
        <v>510</v>
      </c>
      <c r="AZ29" s="1942" t="s">
        <v>2532</v>
      </c>
      <c r="BA29" s="1944"/>
      <c r="BB29" s="1944"/>
      <c r="BC29" s="1944"/>
      <c r="BD29" s="1944"/>
      <c r="BE29" s="1944"/>
      <c r="BF29" s="1944"/>
      <c r="BG29" s="1944"/>
      <c r="BH29" s="1946"/>
      <c r="BI29" s="1944"/>
      <c r="BJ29" s="1944"/>
      <c r="BK29" s="1945"/>
      <c r="BL29" s="1944"/>
      <c r="BM29" s="1944"/>
      <c r="BO29" s="1937" t="s">
        <v>2531</v>
      </c>
      <c r="BP29" s="1941" t="s">
        <v>510</v>
      </c>
      <c r="BQ29" s="1942"/>
      <c r="BR29" s="1944"/>
      <c r="BS29" s="1944"/>
      <c r="BT29" s="1944"/>
      <c r="BU29" s="1944"/>
      <c r="BV29" s="1944"/>
      <c r="BW29" s="1944"/>
      <c r="BX29" s="1944"/>
      <c r="BY29" s="2458"/>
      <c r="BZ29" s="1944"/>
      <c r="CA29" s="1944"/>
      <c r="CB29" s="1945"/>
      <c r="CC29" s="1944"/>
      <c r="CD29" s="1944"/>
      <c r="CE29" s="2272"/>
      <c r="CG29" s="1937" t="s">
        <v>2531</v>
      </c>
      <c r="CH29" s="1941" t="s">
        <v>510</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2531</v>
      </c>
      <c r="CY29" s="1941" t="s">
        <v>510</v>
      </c>
      <c r="CZ29" s="1942"/>
      <c r="DA29" s="2695">
        <f t="shared" si="29"/>
        <v>0</v>
      </c>
      <c r="DB29" s="2695"/>
      <c r="DC29" s="2695"/>
      <c r="DD29" s="2695"/>
      <c r="DE29" s="2695"/>
      <c r="DF29" s="2695"/>
      <c r="DG29" s="2695"/>
      <c r="DH29" s="2907"/>
      <c r="DI29" s="2695"/>
      <c r="DJ29" s="2695"/>
      <c r="DK29" s="2905"/>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961</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961</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961</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961</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961</v>
      </c>
      <c r="CZ30" s="1938" t="s">
        <v>272</v>
      </c>
      <c r="DA30" s="2695">
        <f t="shared" si="29"/>
        <v>0.2</v>
      </c>
      <c r="DB30" s="2695"/>
      <c r="DC30" s="2695"/>
      <c r="DD30" s="2695"/>
      <c r="DE30" s="2695"/>
      <c r="DF30" s="2695"/>
      <c r="DG30" s="2695"/>
      <c r="DH30" s="2907"/>
      <c r="DI30" s="2695"/>
      <c r="DJ30" s="2695"/>
      <c r="DK30" s="2905"/>
      <c r="DL30" s="2695"/>
      <c r="DM30" s="2695"/>
    </row>
    <row r="31" spans="2:117">
      <c r="B31" s="1916">
        <f t="shared" si="0"/>
        <v>2.2999999999999998</v>
      </c>
      <c r="C31" s="1938" t="str">
        <f t="shared" si="1"/>
        <v>空調方式（新築）</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961</v>
      </c>
      <c r="AI31" s="1938"/>
      <c r="AJ31" s="1939"/>
      <c r="AK31" s="1939"/>
      <c r="AL31" s="1939"/>
      <c r="AM31" s="1939"/>
      <c r="AN31" s="1939"/>
      <c r="AO31" s="1939"/>
      <c r="AP31" s="1939"/>
      <c r="AQ31" s="1955"/>
      <c r="AR31" s="1939"/>
      <c r="AS31" s="1958"/>
      <c r="AT31" s="1945"/>
      <c r="AU31" s="1944"/>
      <c r="AV31" s="1944"/>
      <c r="AX31" s="1937">
        <v>2.2999999999999998</v>
      </c>
      <c r="AY31" s="1941" t="s">
        <v>961</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961</v>
      </c>
      <c r="BQ31" s="1938" t="s">
        <v>3486</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961</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961</v>
      </c>
      <c r="CZ31" s="1938" t="s">
        <v>273</v>
      </c>
      <c r="DA31" s="2695">
        <f t="shared" si="29"/>
        <v>0.3</v>
      </c>
      <c r="DB31" s="2695"/>
      <c r="DC31" s="2695"/>
      <c r="DD31" s="2695"/>
      <c r="DE31" s="2695"/>
      <c r="DF31" s="2695"/>
      <c r="DG31" s="2695"/>
      <c r="DH31" s="2907"/>
      <c r="DI31" s="2695"/>
      <c r="DJ31" s="2695"/>
      <c r="DK31" s="2905"/>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961</v>
      </c>
      <c r="AI32" s="1938" t="s">
        <v>3487</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961</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961</v>
      </c>
      <c r="BQ32" s="1938"/>
      <c r="BR32" s="1944"/>
      <c r="BS32" s="1944"/>
      <c r="BT32" s="1944"/>
      <c r="BU32" s="1944"/>
      <c r="BV32" s="1944"/>
      <c r="BW32" s="1944"/>
      <c r="BX32" s="1944"/>
      <c r="BY32" s="2458"/>
      <c r="BZ32" s="1944"/>
      <c r="CA32" s="1944"/>
      <c r="CB32" s="1945"/>
      <c r="CC32" s="1944"/>
      <c r="CD32" s="1944"/>
      <c r="CE32" s="2272"/>
      <c r="CG32" s="1937">
        <v>2.2999999999999998</v>
      </c>
      <c r="CH32" s="1941" t="s">
        <v>961</v>
      </c>
      <c r="CI32" s="1938"/>
      <c r="CJ32" s="2706"/>
      <c r="CK32" s="2706"/>
      <c r="CL32" s="2706"/>
      <c r="CM32" s="2706"/>
      <c r="CN32" s="2706"/>
      <c r="CO32" s="2706"/>
      <c r="CP32" s="2706"/>
      <c r="CQ32" s="2711"/>
      <c r="CR32" s="2706"/>
      <c r="CS32" s="2706"/>
      <c r="CT32" s="2708"/>
      <c r="CU32" s="2706"/>
      <c r="CV32" s="2706"/>
      <c r="CX32" s="1937">
        <v>2.2999999999999998</v>
      </c>
      <c r="CY32" s="1941" t="s">
        <v>961</v>
      </c>
      <c r="CZ32" s="1938"/>
      <c r="DA32" s="2695">
        <f t="shared" ref="DA32" si="61">BR32</f>
        <v>0</v>
      </c>
      <c r="DB32" s="2695"/>
      <c r="DC32" s="2695"/>
      <c r="DD32" s="2695"/>
      <c r="DE32" s="2695"/>
      <c r="DF32" s="2695"/>
      <c r="DG32" s="2695"/>
      <c r="DH32" s="2907"/>
      <c r="DI32" s="2695"/>
      <c r="DJ32" s="2695"/>
      <c r="DK32" s="2905"/>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266</v>
      </c>
      <c r="AH33" s="1941" t="s">
        <v>2533</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2533</v>
      </c>
      <c r="AZ33" s="1942" t="s">
        <v>274</v>
      </c>
      <c r="BA33" s="1944"/>
      <c r="BB33" s="1944"/>
      <c r="BC33" s="1944"/>
      <c r="BD33" s="1944"/>
      <c r="BE33" s="1944"/>
      <c r="BF33" s="1944"/>
      <c r="BG33" s="1944"/>
      <c r="BH33" s="1951"/>
      <c r="BI33" s="1944"/>
      <c r="BJ33" s="1944"/>
      <c r="BK33" s="1945"/>
      <c r="BL33" s="1944"/>
      <c r="BM33" s="1944"/>
      <c r="BO33" s="1937" t="s">
        <v>267</v>
      </c>
      <c r="BP33" s="1941" t="s">
        <v>2533</v>
      </c>
      <c r="BQ33" s="1942"/>
      <c r="BR33" s="1974"/>
      <c r="BS33" s="1974"/>
      <c r="BT33" s="1974"/>
      <c r="BU33" s="1974"/>
      <c r="BV33" s="1974"/>
      <c r="BW33" s="1974"/>
      <c r="BX33" s="1974"/>
      <c r="BY33" s="2463">
        <v>0</v>
      </c>
      <c r="BZ33" s="1974"/>
      <c r="CA33" s="1974"/>
      <c r="CB33" s="1976"/>
      <c r="CC33" s="1974"/>
      <c r="CD33" s="1974"/>
      <c r="CE33" s="2981"/>
      <c r="CG33" s="1937" t="s">
        <v>266</v>
      </c>
      <c r="CH33" s="1941" t="s">
        <v>2533</v>
      </c>
      <c r="CI33" s="1942"/>
      <c r="CJ33" s="2706"/>
      <c r="CK33" s="2706"/>
      <c r="CL33" s="2706"/>
      <c r="CM33" s="2706"/>
      <c r="CN33" s="2706"/>
      <c r="CO33" s="2706"/>
      <c r="CP33" s="2706"/>
      <c r="CQ33" s="2709"/>
      <c r="CR33" s="2706"/>
      <c r="CS33" s="2706"/>
      <c r="CT33" s="2708"/>
      <c r="CU33" s="2706"/>
      <c r="CV33" s="2706"/>
      <c r="CX33" s="1937" t="s">
        <v>266</v>
      </c>
      <c r="CY33" s="1941" t="s">
        <v>2533</v>
      </c>
      <c r="CZ33" s="1942"/>
      <c r="DA33" s="2695">
        <f t="shared" si="29"/>
        <v>0</v>
      </c>
      <c r="DB33" s="2695"/>
      <c r="DC33" s="2695"/>
      <c r="DD33" s="2695"/>
      <c r="DE33" s="2695"/>
      <c r="DF33" s="2695"/>
      <c r="DG33" s="2695"/>
      <c r="DH33" s="2912"/>
      <c r="DI33" s="2695"/>
      <c r="DJ33" s="2695"/>
      <c r="DK33" s="2905"/>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268</v>
      </c>
      <c r="AH34" s="1941" t="s">
        <v>2533</v>
      </c>
      <c r="AI34" s="1938" t="s">
        <v>1845</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2533</v>
      </c>
      <c r="AZ34" s="1942" t="s">
        <v>1845</v>
      </c>
      <c r="BA34" s="1944"/>
      <c r="BB34" s="1944"/>
      <c r="BC34" s="1944"/>
      <c r="BD34" s="1944"/>
      <c r="BE34" s="1944"/>
      <c r="BF34" s="1944"/>
      <c r="BG34" s="1944"/>
      <c r="BH34" s="1951"/>
      <c r="BI34" s="1944"/>
      <c r="BJ34" s="1944"/>
      <c r="BK34" s="1945"/>
      <c r="BL34" s="1944"/>
      <c r="BM34" s="1944"/>
      <c r="BO34" s="1937" t="s">
        <v>269</v>
      </c>
      <c r="BP34" s="1941" t="s">
        <v>2533</v>
      </c>
      <c r="BQ34" s="1942"/>
      <c r="BR34" s="1974"/>
      <c r="BS34" s="1974"/>
      <c r="BT34" s="1974"/>
      <c r="BU34" s="1974"/>
      <c r="BV34" s="1974"/>
      <c r="BW34" s="1974"/>
      <c r="BX34" s="1974"/>
      <c r="BY34" s="2463">
        <v>0</v>
      </c>
      <c r="BZ34" s="1974"/>
      <c r="CA34" s="1974"/>
      <c r="CB34" s="1976"/>
      <c r="CC34" s="1974"/>
      <c r="CD34" s="1974"/>
      <c r="CE34" s="2981"/>
      <c r="CG34" s="1937" t="s">
        <v>268</v>
      </c>
      <c r="CH34" s="1941" t="s">
        <v>2533</v>
      </c>
      <c r="CI34" s="1942"/>
      <c r="CJ34" s="2706"/>
      <c r="CK34" s="2706"/>
      <c r="CL34" s="2706"/>
      <c r="CM34" s="2706"/>
      <c r="CN34" s="2706"/>
      <c r="CO34" s="2706"/>
      <c r="CP34" s="2706"/>
      <c r="CQ34" s="2709"/>
      <c r="CR34" s="2706"/>
      <c r="CS34" s="2706"/>
      <c r="CT34" s="2708"/>
      <c r="CU34" s="2706"/>
      <c r="CV34" s="2706"/>
      <c r="CX34" s="1937" t="s">
        <v>268</v>
      </c>
      <c r="CY34" s="1941" t="s">
        <v>2533</v>
      </c>
      <c r="CZ34" s="1942"/>
      <c r="DA34" s="2695">
        <f t="shared" si="29"/>
        <v>0</v>
      </c>
      <c r="DB34" s="2695"/>
      <c r="DC34" s="2695"/>
      <c r="DD34" s="2695"/>
      <c r="DE34" s="2695"/>
      <c r="DF34" s="2695"/>
      <c r="DG34" s="2695"/>
      <c r="DH34" s="2912"/>
      <c r="DI34" s="2695"/>
      <c r="DJ34" s="2695"/>
      <c r="DK34" s="2905"/>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953</v>
      </c>
      <c r="AI35" s="1928" t="s">
        <v>948</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953</v>
      </c>
      <c r="AZ35" s="1928" t="s">
        <v>948</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953</v>
      </c>
      <c r="BQ35" s="1928" t="s">
        <v>948</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953</v>
      </c>
      <c r="CI35" s="1928" t="s">
        <v>948</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953</v>
      </c>
      <c r="CZ35" s="1928" t="s">
        <v>948</v>
      </c>
      <c r="DA35" s="2693">
        <f t="shared" si="29"/>
        <v>0.25</v>
      </c>
      <c r="DB35" s="2693"/>
      <c r="DC35" s="2693"/>
      <c r="DD35" s="2693"/>
      <c r="DE35" s="2693"/>
      <c r="DF35" s="2693"/>
      <c r="DG35" s="2693"/>
      <c r="DH35" s="2906"/>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2534</v>
      </c>
      <c r="AI36" s="1938" t="s">
        <v>1847</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2534</v>
      </c>
      <c r="AZ36" s="1938" t="s">
        <v>1847</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2534</v>
      </c>
      <c r="BQ36" s="1938" t="s">
        <v>1847</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2534</v>
      </c>
      <c r="CI36" s="1938" t="s">
        <v>1847</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2534</v>
      </c>
      <c r="CZ36" s="1938" t="s">
        <v>1847</v>
      </c>
      <c r="DA36" s="2695">
        <f t="shared" si="29"/>
        <v>0.3</v>
      </c>
      <c r="DB36" s="2695"/>
      <c r="DC36" s="2695"/>
      <c r="DD36" s="2695"/>
      <c r="DE36" s="2695"/>
      <c r="DF36" s="2695"/>
      <c r="DG36" s="2695"/>
      <c r="DH36" s="2695"/>
      <c r="DI36" s="2695"/>
      <c r="DJ36" s="2695"/>
      <c r="DK36" s="2905"/>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1140</v>
      </c>
      <c r="AH37" s="1941" t="s">
        <v>2535</v>
      </c>
      <c r="AI37" s="1942" t="s">
        <v>2536</v>
      </c>
      <c r="AJ37" s="1939">
        <v>0.6</v>
      </c>
      <c r="AK37" s="1939">
        <v>0.6</v>
      </c>
      <c r="AL37" s="1939"/>
      <c r="AM37" s="1939"/>
      <c r="AN37" s="1939">
        <v>0.6</v>
      </c>
      <c r="AO37" s="1939">
        <v>0.6</v>
      </c>
      <c r="AP37" s="1939">
        <v>0.6</v>
      </c>
      <c r="AQ37" s="1955"/>
      <c r="AR37" s="1939">
        <v>0.6</v>
      </c>
      <c r="AS37" s="1944">
        <v>0.6</v>
      </c>
      <c r="AT37" s="1945">
        <v>0.6</v>
      </c>
      <c r="AU37" s="1944">
        <v>0.6</v>
      </c>
      <c r="AV37" s="1944">
        <v>0.5</v>
      </c>
      <c r="AX37" s="1937" t="s">
        <v>1140</v>
      </c>
      <c r="AY37" s="1941" t="s">
        <v>2535</v>
      </c>
      <c r="AZ37" s="1942" t="s">
        <v>2536</v>
      </c>
      <c r="BA37" s="1944">
        <v>0.6</v>
      </c>
      <c r="BB37" s="1944">
        <v>0.6</v>
      </c>
      <c r="BC37" s="1944"/>
      <c r="BD37" s="1944"/>
      <c r="BE37" s="1944">
        <v>0.6</v>
      </c>
      <c r="BF37" s="1944">
        <v>0.6</v>
      </c>
      <c r="BG37" s="1944">
        <v>0.6</v>
      </c>
      <c r="BH37" s="1946"/>
      <c r="BI37" s="1944">
        <v>0.6</v>
      </c>
      <c r="BJ37" s="1944">
        <v>0.6</v>
      </c>
      <c r="BK37" s="1945">
        <v>0.6</v>
      </c>
      <c r="BL37" s="1944">
        <v>0.6</v>
      </c>
      <c r="BM37" s="1944">
        <v>0.5</v>
      </c>
      <c r="BO37" s="1937" t="s">
        <v>1140</v>
      </c>
      <c r="BP37" s="1941" t="s">
        <v>2535</v>
      </c>
      <c r="BQ37" s="1942" t="s">
        <v>2536</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1140</v>
      </c>
      <c r="CH37" s="1941" t="s">
        <v>2535</v>
      </c>
      <c r="CI37" s="1942" t="s">
        <v>2536</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1140</v>
      </c>
      <c r="CY37" s="1941" t="s">
        <v>2535</v>
      </c>
      <c r="CZ37" s="1942" t="s">
        <v>2536</v>
      </c>
      <c r="DA37" s="2695">
        <f t="shared" si="29"/>
        <v>0.6</v>
      </c>
      <c r="DB37" s="2695"/>
      <c r="DC37" s="2695"/>
      <c r="DD37" s="2695"/>
      <c r="DE37" s="2695"/>
      <c r="DF37" s="2695"/>
      <c r="DG37" s="2695"/>
      <c r="DH37" s="2695"/>
      <c r="DI37" s="2695"/>
      <c r="DJ37" s="2695"/>
      <c r="DK37" s="2905"/>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1141</v>
      </c>
      <c r="AH38" s="1941" t="s">
        <v>2535</v>
      </c>
      <c r="AI38" s="1942" t="s">
        <v>2537</v>
      </c>
      <c r="AJ38" s="1939"/>
      <c r="AK38" s="1939"/>
      <c r="AL38" s="1939"/>
      <c r="AM38" s="1939"/>
      <c r="AN38" s="1939"/>
      <c r="AO38" s="1939"/>
      <c r="AP38" s="1939"/>
      <c r="AQ38" s="1955"/>
      <c r="AR38" s="1939"/>
      <c r="AS38" s="1944"/>
      <c r="AT38" s="1945"/>
      <c r="AU38" s="1944"/>
      <c r="AV38" s="1944">
        <v>0.3</v>
      </c>
      <c r="AX38" s="1937" t="s">
        <v>1141</v>
      </c>
      <c r="AY38" s="1941" t="s">
        <v>2535</v>
      </c>
      <c r="AZ38" s="1942" t="s">
        <v>2537</v>
      </c>
      <c r="BA38" s="1944"/>
      <c r="BB38" s="1944"/>
      <c r="BC38" s="1944"/>
      <c r="BD38" s="1944"/>
      <c r="BE38" s="1944"/>
      <c r="BF38" s="1944"/>
      <c r="BG38" s="1944"/>
      <c r="BH38" s="1946"/>
      <c r="BI38" s="1944"/>
      <c r="BJ38" s="1944"/>
      <c r="BK38" s="1945"/>
      <c r="BL38" s="1944"/>
      <c r="BM38" s="1944">
        <v>0.3</v>
      </c>
      <c r="BO38" s="1937" t="s">
        <v>1141</v>
      </c>
      <c r="BP38" s="1941" t="s">
        <v>2535</v>
      </c>
      <c r="BQ38" s="1942" t="s">
        <v>2537</v>
      </c>
      <c r="BR38" s="1944"/>
      <c r="BS38" s="1944"/>
      <c r="BT38" s="1944"/>
      <c r="BU38" s="1944"/>
      <c r="BV38" s="1944"/>
      <c r="BW38" s="1944"/>
      <c r="BX38" s="1944"/>
      <c r="BY38" s="2458"/>
      <c r="BZ38" s="1944"/>
      <c r="CA38" s="1944"/>
      <c r="CB38" s="1945"/>
      <c r="CC38" s="1944"/>
      <c r="CD38" s="1944">
        <v>0.3</v>
      </c>
      <c r="CE38" s="2272"/>
      <c r="CG38" s="1937" t="s">
        <v>1141</v>
      </c>
      <c r="CH38" s="1941" t="s">
        <v>2535</v>
      </c>
      <c r="CI38" s="1942" t="s">
        <v>2537</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1141</v>
      </c>
      <c r="CY38" s="1941" t="s">
        <v>2535</v>
      </c>
      <c r="CZ38" s="1942" t="s">
        <v>2537</v>
      </c>
      <c r="DA38" s="2695">
        <f t="shared" si="29"/>
        <v>0</v>
      </c>
      <c r="DB38" s="2695"/>
      <c r="DC38" s="2695"/>
      <c r="DD38" s="2695"/>
      <c r="DE38" s="2695"/>
      <c r="DF38" s="2695"/>
      <c r="DG38" s="2695"/>
      <c r="DH38" s="2695"/>
      <c r="DI38" s="2695"/>
      <c r="DJ38" s="2695"/>
      <c r="DK38" s="2905"/>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1142</v>
      </c>
      <c r="AH39" s="1941" t="s">
        <v>2535</v>
      </c>
      <c r="AI39" s="1942" t="s">
        <v>2538</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1142</v>
      </c>
      <c r="AY39" s="1941" t="s">
        <v>2535</v>
      </c>
      <c r="AZ39" s="1942" t="s">
        <v>2538</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1142</v>
      </c>
      <c r="BP39" s="1941" t="s">
        <v>2535</v>
      </c>
      <c r="BQ39" s="1942" t="s">
        <v>2538</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1142</v>
      </c>
      <c r="CH39" s="1941" t="s">
        <v>2535</v>
      </c>
      <c r="CI39" s="1942" t="s">
        <v>2538</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1142</v>
      </c>
      <c r="CY39" s="1941" t="s">
        <v>2535</v>
      </c>
      <c r="CZ39" s="1942" t="s">
        <v>2538</v>
      </c>
      <c r="DA39" s="2695">
        <f t="shared" si="29"/>
        <v>0.4</v>
      </c>
      <c r="DB39" s="2695"/>
      <c r="DC39" s="2695"/>
      <c r="DD39" s="2695"/>
      <c r="DE39" s="2695"/>
      <c r="DF39" s="2695"/>
      <c r="DG39" s="2695"/>
      <c r="DH39" s="2695"/>
      <c r="DI39" s="2695"/>
      <c r="DJ39" s="2695"/>
      <c r="DK39" s="2905"/>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2534</v>
      </c>
      <c r="AI40" s="1942" t="s">
        <v>1851</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2534</v>
      </c>
      <c r="AZ40" s="1942" t="s">
        <v>1851</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2534</v>
      </c>
      <c r="BQ40" s="1942" t="s">
        <v>1851</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2534</v>
      </c>
      <c r="CI40" s="1942" t="s">
        <v>1851</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2534</v>
      </c>
      <c r="CZ40" s="1942" t="s">
        <v>1851</v>
      </c>
      <c r="DA40" s="2695">
        <f t="shared" si="29"/>
        <v>0.3</v>
      </c>
      <c r="DB40" s="2695"/>
      <c r="DC40" s="2695"/>
      <c r="DD40" s="2695"/>
      <c r="DE40" s="2695"/>
      <c r="DF40" s="2695"/>
      <c r="DG40" s="2695"/>
      <c r="DH40" s="2695"/>
      <c r="DI40" s="2695"/>
      <c r="DJ40" s="2695"/>
      <c r="DK40" s="2905"/>
      <c r="DL40" s="2695"/>
      <c r="DM40" s="2695"/>
    </row>
    <row r="41" spans="2:117" hidden="1">
      <c r="B41" s="1916" t="str">
        <f t="shared" si="0"/>
        <v>3.2.1</v>
      </c>
      <c r="C41" s="1938">
        <f>R41</f>
        <v>0</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1143</v>
      </c>
      <c r="AH41" s="1941" t="s">
        <v>2539</v>
      </c>
      <c r="AI41" s="1942" t="s">
        <v>2540</v>
      </c>
      <c r="AJ41" s="1949">
        <v>0.4</v>
      </c>
      <c r="AK41" s="1949">
        <v>0.4</v>
      </c>
      <c r="AL41" s="1949"/>
      <c r="AM41" s="1949"/>
      <c r="AN41" s="1949">
        <v>0.4</v>
      </c>
      <c r="AO41" s="1949">
        <v>0.4</v>
      </c>
      <c r="AP41" s="1949">
        <v>0.4</v>
      </c>
      <c r="AQ41" s="1956"/>
      <c r="AR41" s="1949">
        <v>0.4</v>
      </c>
      <c r="AS41" s="1958">
        <v>0.3</v>
      </c>
      <c r="AT41" s="1945">
        <v>0.4</v>
      </c>
      <c r="AU41" s="1944">
        <v>0.4</v>
      </c>
      <c r="AV41" s="1944">
        <v>0.4</v>
      </c>
      <c r="AX41" s="1937" t="s">
        <v>1143</v>
      </c>
      <c r="AY41" s="1941" t="s">
        <v>2539</v>
      </c>
      <c r="AZ41" s="1942" t="s">
        <v>2540</v>
      </c>
      <c r="BA41" s="1944"/>
      <c r="BB41" s="1944"/>
      <c r="BC41" s="1944"/>
      <c r="BD41" s="1944"/>
      <c r="BE41" s="1944"/>
      <c r="BF41" s="1944"/>
      <c r="BG41" s="1944"/>
      <c r="BH41" s="1946"/>
      <c r="BI41" s="1944"/>
      <c r="BJ41" s="1944"/>
      <c r="BK41" s="1945"/>
      <c r="BL41" s="1944"/>
      <c r="BM41" s="1944"/>
      <c r="BO41" s="1937" t="s">
        <v>1143</v>
      </c>
      <c r="BP41" s="1941" t="s">
        <v>2539</v>
      </c>
      <c r="BQ41" s="1942"/>
      <c r="BR41" s="2925"/>
      <c r="BS41" s="2925"/>
      <c r="BT41" s="2925"/>
      <c r="BU41" s="2925"/>
      <c r="BV41" s="2925"/>
      <c r="BW41" s="2925"/>
      <c r="BX41" s="2925"/>
      <c r="BY41" s="3024"/>
      <c r="BZ41" s="2925"/>
      <c r="CA41" s="2925"/>
      <c r="CB41" s="2925"/>
      <c r="CC41" s="2925"/>
      <c r="CD41" s="2925"/>
      <c r="CE41" s="2272"/>
      <c r="CG41" s="1937" t="s">
        <v>1143</v>
      </c>
      <c r="CH41" s="1941" t="s">
        <v>2539</v>
      </c>
      <c r="CI41" s="1942" t="s">
        <v>2540</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1143</v>
      </c>
      <c r="CY41" s="1941" t="s">
        <v>2539</v>
      </c>
      <c r="CZ41" s="1942" t="s">
        <v>2540</v>
      </c>
      <c r="DA41" s="2924">
        <v>0</v>
      </c>
      <c r="DB41" s="2695"/>
      <c r="DC41" s="2695"/>
      <c r="DD41" s="2695"/>
      <c r="DE41" s="2695"/>
      <c r="DF41" s="2695"/>
      <c r="DG41" s="2695"/>
      <c r="DH41" s="2695"/>
      <c r="DI41" s="2695"/>
      <c r="DJ41" s="2695"/>
      <c r="DK41" s="2905"/>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1144</v>
      </c>
      <c r="AH42" s="1941" t="s">
        <v>2539</v>
      </c>
      <c r="AI42" s="1942" t="s">
        <v>2541</v>
      </c>
      <c r="AJ42" s="1939">
        <v>0.6</v>
      </c>
      <c r="AK42" s="1939">
        <v>0.6</v>
      </c>
      <c r="AL42" s="1939"/>
      <c r="AM42" s="1939"/>
      <c r="AN42" s="1939">
        <v>0.6</v>
      </c>
      <c r="AO42" s="1939">
        <v>0.6</v>
      </c>
      <c r="AP42" s="1939">
        <v>0.6</v>
      </c>
      <c r="AQ42" s="1955"/>
      <c r="AR42" s="1939">
        <v>0.6</v>
      </c>
      <c r="AS42" s="1958">
        <v>0.4</v>
      </c>
      <c r="AT42" s="1945">
        <v>0.6</v>
      </c>
      <c r="AU42" s="1944">
        <v>0.6</v>
      </c>
      <c r="AV42" s="1944">
        <v>0.6</v>
      </c>
      <c r="AX42" s="1937" t="s">
        <v>1144</v>
      </c>
      <c r="AY42" s="1941" t="s">
        <v>2539</v>
      </c>
      <c r="AZ42" s="1942" t="s">
        <v>2541</v>
      </c>
      <c r="BA42" s="1944">
        <v>1</v>
      </c>
      <c r="BB42" s="1944">
        <v>1</v>
      </c>
      <c r="BC42" s="1944"/>
      <c r="BD42" s="1944"/>
      <c r="BE42" s="1944">
        <v>1</v>
      </c>
      <c r="BF42" s="1944">
        <v>1</v>
      </c>
      <c r="BG42" s="1944">
        <v>1</v>
      </c>
      <c r="BH42" s="1946"/>
      <c r="BI42" s="1944">
        <v>1</v>
      </c>
      <c r="BJ42" s="1944">
        <v>1</v>
      </c>
      <c r="BK42" s="1945">
        <v>1</v>
      </c>
      <c r="BL42" s="1944">
        <v>1</v>
      </c>
      <c r="BM42" s="1944">
        <v>1</v>
      </c>
      <c r="BO42" s="1937" t="s">
        <v>1144</v>
      </c>
      <c r="BP42" s="1941" t="s">
        <v>2539</v>
      </c>
      <c r="BQ42" s="1942" t="s">
        <v>2541</v>
      </c>
      <c r="BR42" s="2925">
        <v>1</v>
      </c>
      <c r="BS42" s="2925">
        <v>1</v>
      </c>
      <c r="BT42" s="2925"/>
      <c r="BU42" s="2925"/>
      <c r="BV42" s="2925">
        <v>1</v>
      </c>
      <c r="BW42" s="2925">
        <v>1</v>
      </c>
      <c r="BX42" s="2925">
        <v>1</v>
      </c>
      <c r="BY42" s="3024"/>
      <c r="BZ42" s="2925">
        <v>1</v>
      </c>
      <c r="CA42" s="2925">
        <v>1</v>
      </c>
      <c r="CB42" s="2925">
        <v>1</v>
      </c>
      <c r="CC42" s="2925">
        <v>1</v>
      </c>
      <c r="CD42" s="2925">
        <v>1</v>
      </c>
      <c r="CE42" s="2272"/>
      <c r="CG42" s="1937" t="s">
        <v>1144</v>
      </c>
      <c r="CH42" s="1941" t="s">
        <v>2539</v>
      </c>
      <c r="CI42" s="1942" t="s">
        <v>2541</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1144</v>
      </c>
      <c r="CY42" s="1941" t="s">
        <v>2539</v>
      </c>
      <c r="CZ42" s="1942" t="s">
        <v>2541</v>
      </c>
      <c r="DA42" s="2924">
        <v>1</v>
      </c>
      <c r="DB42" s="2695"/>
      <c r="DC42" s="2695"/>
      <c r="DD42" s="2695"/>
      <c r="DE42" s="2695"/>
      <c r="DF42" s="2695"/>
      <c r="DG42" s="2695"/>
      <c r="DH42" s="2695"/>
      <c r="DI42" s="2695"/>
      <c r="DJ42" s="2695"/>
      <c r="DK42" s="2905"/>
      <c r="DL42" s="2695"/>
      <c r="DM42" s="2695"/>
    </row>
    <row r="43" spans="2:117" ht="13.5" hidden="1" customHeight="1">
      <c r="B43" s="1916" t="s">
        <v>1145</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2542</v>
      </c>
      <c r="AH43" s="1941" t="s">
        <v>2543</v>
      </c>
      <c r="AI43" s="1942" t="s">
        <v>989</v>
      </c>
      <c r="AJ43" s="1939"/>
      <c r="AK43" s="1939"/>
      <c r="AL43" s="1939"/>
      <c r="AM43" s="1939"/>
      <c r="AN43" s="1939"/>
      <c r="AO43" s="1939"/>
      <c r="AP43" s="1939"/>
      <c r="AQ43" s="1955"/>
      <c r="AR43" s="1939"/>
      <c r="AS43" s="1958">
        <v>0.3</v>
      </c>
      <c r="AT43" s="1945"/>
      <c r="AU43" s="1944"/>
      <c r="AV43" s="1944"/>
      <c r="AX43" s="1961" t="s">
        <v>1146</v>
      </c>
      <c r="AY43" s="1964" t="s">
        <v>2543</v>
      </c>
      <c r="AZ43" s="1965" t="s">
        <v>989</v>
      </c>
      <c r="BA43" s="1966"/>
      <c r="BB43" s="1966"/>
      <c r="BC43" s="1966"/>
      <c r="BD43" s="1966"/>
      <c r="BE43" s="1966"/>
      <c r="BF43" s="1966"/>
      <c r="BG43" s="1966"/>
      <c r="BH43" s="1967"/>
      <c r="BI43" s="1966"/>
      <c r="BJ43" s="1966"/>
      <c r="BK43" s="1968"/>
      <c r="BL43" s="1966"/>
      <c r="BM43" s="1966"/>
      <c r="BO43" s="1961" t="s">
        <v>1146</v>
      </c>
      <c r="BP43" s="1964" t="s">
        <v>2543</v>
      </c>
      <c r="BQ43" s="1965"/>
      <c r="BR43" s="1969"/>
      <c r="BS43" s="1969"/>
      <c r="BT43" s="1969"/>
      <c r="BU43" s="1969"/>
      <c r="BV43" s="1969"/>
      <c r="BW43" s="1969"/>
      <c r="BX43" s="1969"/>
      <c r="BY43" s="2459"/>
      <c r="BZ43" s="1969"/>
      <c r="CA43" s="1969"/>
      <c r="CB43" s="1971"/>
      <c r="CC43" s="1969"/>
      <c r="CD43" s="1969"/>
      <c r="CE43" s="2273"/>
      <c r="CG43" s="1961" t="s">
        <v>1145</v>
      </c>
      <c r="CH43" s="1964" t="s">
        <v>2543</v>
      </c>
      <c r="CI43" s="1965"/>
      <c r="CJ43" s="2713"/>
      <c r="CK43" s="2713"/>
      <c r="CL43" s="2713"/>
      <c r="CM43" s="2713"/>
      <c r="CN43" s="2713"/>
      <c r="CO43" s="2713"/>
      <c r="CP43" s="2713"/>
      <c r="CQ43" s="2714"/>
      <c r="CR43" s="2713"/>
      <c r="CS43" s="2713"/>
      <c r="CT43" s="2715"/>
      <c r="CU43" s="2713"/>
      <c r="CV43" s="2713"/>
      <c r="CX43" s="1961"/>
      <c r="CY43" s="1964"/>
      <c r="CZ43" s="1965"/>
      <c r="DA43" s="2909"/>
      <c r="DB43" s="2909"/>
      <c r="DC43" s="2909"/>
      <c r="DD43" s="2909"/>
      <c r="DE43" s="2909"/>
      <c r="DF43" s="2909"/>
      <c r="DG43" s="2909"/>
      <c r="DH43" s="2910"/>
      <c r="DI43" s="2909"/>
      <c r="DJ43" s="2909"/>
      <c r="DK43" s="2911"/>
      <c r="DL43" s="2909"/>
      <c r="DM43" s="2909"/>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2534</v>
      </c>
      <c r="AI44" s="1938" t="s">
        <v>990</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2534</v>
      </c>
      <c r="AZ44" s="1938" t="s">
        <v>990</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2534</v>
      </c>
      <c r="BQ44" s="1938" t="s">
        <v>990</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2534</v>
      </c>
      <c r="CI44" s="1938" t="s">
        <v>990</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2534</v>
      </c>
      <c r="CZ44" s="1938" t="s">
        <v>990</v>
      </c>
      <c r="DA44" s="2695">
        <f t="shared" si="29"/>
        <v>0.15</v>
      </c>
      <c r="DB44" s="2695"/>
      <c r="DC44" s="2695"/>
      <c r="DD44" s="2695"/>
      <c r="DE44" s="2695"/>
      <c r="DF44" s="2695"/>
      <c r="DG44" s="2695"/>
      <c r="DH44" s="2695"/>
      <c r="DI44" s="2695"/>
      <c r="DJ44" s="2695"/>
      <c r="DK44" s="2905"/>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2110</v>
      </c>
      <c r="AH45" s="1964" t="s">
        <v>2543</v>
      </c>
      <c r="AI45" s="1965" t="s">
        <v>2111</v>
      </c>
      <c r="AJ45" s="1939"/>
      <c r="AK45" s="1939"/>
      <c r="AL45" s="1939"/>
      <c r="AM45" s="1939"/>
      <c r="AN45" s="1939"/>
      <c r="AO45" s="1939"/>
      <c r="AP45" s="1939"/>
      <c r="AQ45" s="1955"/>
      <c r="AR45" s="1939"/>
      <c r="AS45" s="1966"/>
      <c r="AT45" s="1968"/>
      <c r="AU45" s="1966"/>
      <c r="AV45" s="1966"/>
      <c r="AX45" s="1961" t="s">
        <v>2110</v>
      </c>
      <c r="AY45" s="1964" t="s">
        <v>2543</v>
      </c>
      <c r="AZ45" s="1965" t="s">
        <v>2111</v>
      </c>
      <c r="BA45" s="1966"/>
      <c r="BB45" s="1966"/>
      <c r="BC45" s="1966"/>
      <c r="BD45" s="1966"/>
      <c r="BE45" s="1966"/>
      <c r="BF45" s="1966"/>
      <c r="BG45" s="1966"/>
      <c r="BH45" s="1967"/>
      <c r="BI45" s="1966"/>
      <c r="BJ45" s="1966"/>
      <c r="BK45" s="1968"/>
      <c r="BL45" s="1966"/>
      <c r="BM45" s="1966"/>
      <c r="BO45" s="1961" t="s">
        <v>2110</v>
      </c>
      <c r="BP45" s="1964" t="s">
        <v>2543</v>
      </c>
      <c r="BQ45" s="1965" t="s">
        <v>2111</v>
      </c>
      <c r="BR45" s="1969"/>
      <c r="BS45" s="1969"/>
      <c r="BT45" s="1969"/>
      <c r="BU45" s="1969"/>
      <c r="BV45" s="1969"/>
      <c r="BW45" s="1969"/>
      <c r="BX45" s="1969"/>
      <c r="BY45" s="2462">
        <v>0</v>
      </c>
      <c r="BZ45" s="1969"/>
      <c r="CA45" s="1969"/>
      <c r="CB45" s="1971"/>
      <c r="CC45" s="1969"/>
      <c r="CD45" s="1969"/>
      <c r="CE45" s="2273"/>
      <c r="CG45" s="1961" t="s">
        <v>1395</v>
      </c>
      <c r="CH45" s="1964" t="s">
        <v>2543</v>
      </c>
      <c r="CI45" s="1965" t="s">
        <v>2111</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1395</v>
      </c>
      <c r="CY45" s="1964" t="s">
        <v>2543</v>
      </c>
      <c r="CZ45" s="1965" t="s">
        <v>2111</v>
      </c>
      <c r="DA45" s="2909">
        <f t="shared" si="29"/>
        <v>0</v>
      </c>
      <c r="DB45" s="2909"/>
      <c r="DC45" s="2909"/>
      <c r="DD45" s="2909"/>
      <c r="DE45" s="2909"/>
      <c r="DF45" s="2909"/>
      <c r="DG45" s="2909"/>
      <c r="DH45" s="2909"/>
      <c r="DI45" s="2909"/>
      <c r="DJ45" s="2909"/>
      <c r="DK45" s="2911"/>
      <c r="DL45" s="2909"/>
      <c r="DM45" s="2909"/>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2112</v>
      </c>
      <c r="AH46" s="1964" t="s">
        <v>2543</v>
      </c>
      <c r="AI46" s="1965" t="s">
        <v>2705</v>
      </c>
      <c r="AJ46" s="1949"/>
      <c r="AK46" s="1949"/>
      <c r="AL46" s="1949"/>
      <c r="AM46" s="1949"/>
      <c r="AN46" s="1949"/>
      <c r="AO46" s="1949"/>
      <c r="AP46" s="1949"/>
      <c r="AQ46" s="1956"/>
      <c r="AR46" s="1949"/>
      <c r="AS46" s="1966"/>
      <c r="AT46" s="1968"/>
      <c r="AU46" s="1966"/>
      <c r="AV46" s="1966"/>
      <c r="AX46" s="1961" t="s">
        <v>2112</v>
      </c>
      <c r="AY46" s="1964" t="s">
        <v>2543</v>
      </c>
      <c r="AZ46" s="1965" t="s">
        <v>2705</v>
      </c>
      <c r="BA46" s="1966"/>
      <c r="BB46" s="1966"/>
      <c r="BC46" s="1966"/>
      <c r="BD46" s="1966"/>
      <c r="BE46" s="1966"/>
      <c r="BF46" s="1966"/>
      <c r="BG46" s="1966"/>
      <c r="BH46" s="1967"/>
      <c r="BI46" s="1966"/>
      <c r="BJ46" s="1966"/>
      <c r="BK46" s="1968"/>
      <c r="BL46" s="1966"/>
      <c r="BM46" s="1966"/>
      <c r="BO46" s="1961" t="s">
        <v>2112</v>
      </c>
      <c r="BP46" s="1964" t="s">
        <v>2543</v>
      </c>
      <c r="BQ46" s="1965" t="s">
        <v>2705</v>
      </c>
      <c r="BR46" s="1969"/>
      <c r="BS46" s="1969"/>
      <c r="BT46" s="1969"/>
      <c r="BU46" s="1969"/>
      <c r="BV46" s="1969"/>
      <c r="BW46" s="1969"/>
      <c r="BX46" s="1969"/>
      <c r="BY46" s="2462">
        <v>0</v>
      </c>
      <c r="BZ46" s="1969"/>
      <c r="CA46" s="1969"/>
      <c r="CB46" s="1971"/>
      <c r="CC46" s="1969"/>
      <c r="CD46" s="1969"/>
      <c r="CE46" s="2273"/>
      <c r="CG46" s="1961" t="s">
        <v>1396</v>
      </c>
      <c r="CH46" s="1964" t="s">
        <v>2543</v>
      </c>
      <c r="CI46" s="1965" t="s">
        <v>2705</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1396</v>
      </c>
      <c r="CY46" s="1964" t="s">
        <v>2543</v>
      </c>
      <c r="CZ46" s="1965" t="s">
        <v>2705</v>
      </c>
      <c r="DA46" s="2909">
        <f t="shared" si="29"/>
        <v>0</v>
      </c>
      <c r="DB46" s="2909"/>
      <c r="DC46" s="2909"/>
      <c r="DD46" s="2909"/>
      <c r="DE46" s="2909"/>
      <c r="DF46" s="2909"/>
      <c r="DG46" s="2909"/>
      <c r="DH46" s="2909"/>
      <c r="DI46" s="2909"/>
      <c r="DJ46" s="2909"/>
      <c r="DK46" s="2911"/>
      <c r="DL46" s="2909"/>
      <c r="DM46" s="2909"/>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2534</v>
      </c>
      <c r="AI47" s="1938" t="s">
        <v>993</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2534</v>
      </c>
      <c r="AZ47" s="1938" t="s">
        <v>993</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2534</v>
      </c>
      <c r="BQ47" s="1938" t="s">
        <v>993</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2534</v>
      </c>
      <c r="CI47" s="1938" t="s">
        <v>993</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2534</v>
      </c>
      <c r="CZ47" s="1938" t="s">
        <v>993</v>
      </c>
      <c r="DA47" s="2695">
        <f t="shared" si="29"/>
        <v>0.25</v>
      </c>
      <c r="DB47" s="2695"/>
      <c r="DC47" s="2695"/>
      <c r="DD47" s="2695"/>
      <c r="DE47" s="2695"/>
      <c r="DF47" s="2695"/>
      <c r="DG47" s="2695"/>
      <c r="DH47" s="2695"/>
      <c r="DI47" s="2695"/>
      <c r="DJ47" s="2695"/>
      <c r="DK47" s="2905"/>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953</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953</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953</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953</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953</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2544</v>
      </c>
      <c r="AI49" s="1938" t="s">
        <v>995</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2544</v>
      </c>
      <c r="AZ49" s="1938" t="s">
        <v>995</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2544</v>
      </c>
      <c r="BQ49" s="1938" t="s">
        <v>995</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2544</v>
      </c>
      <c r="CI49" s="1938" t="s">
        <v>995</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2544</v>
      </c>
      <c r="CZ49" s="1938" t="s">
        <v>995</v>
      </c>
      <c r="DA49" s="2695">
        <f t="shared" si="29"/>
        <v>0.5</v>
      </c>
      <c r="DB49" s="2695"/>
      <c r="DC49" s="2695"/>
      <c r="DD49" s="2695"/>
      <c r="DE49" s="2695"/>
      <c r="DF49" s="2695"/>
      <c r="DG49" s="2695"/>
      <c r="DH49" s="2695"/>
      <c r="DI49" s="2695"/>
      <c r="DJ49" s="2695"/>
      <c r="DK49" s="2905"/>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2706</v>
      </c>
      <c r="AH50" s="1941" t="s">
        <v>2545</v>
      </c>
      <c r="AI50" s="1942" t="s">
        <v>2546</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2706</v>
      </c>
      <c r="AY50" s="1941" t="s">
        <v>2545</v>
      </c>
      <c r="AZ50" s="1942" t="s">
        <v>2546</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2706</v>
      </c>
      <c r="BP50" s="1941" t="s">
        <v>2545</v>
      </c>
      <c r="BQ50" s="1942" t="s">
        <v>2546</v>
      </c>
      <c r="BR50" s="2926">
        <v>1</v>
      </c>
      <c r="BS50" s="2926">
        <v>1</v>
      </c>
      <c r="BT50" s="2926">
        <v>1</v>
      </c>
      <c r="BU50" s="2926">
        <v>1</v>
      </c>
      <c r="BV50" s="2926">
        <v>1</v>
      </c>
      <c r="BW50" s="2926">
        <v>1</v>
      </c>
      <c r="BX50" s="2926">
        <v>1</v>
      </c>
      <c r="BY50" s="2926">
        <v>1</v>
      </c>
      <c r="BZ50" s="2926">
        <v>1</v>
      </c>
      <c r="CA50" s="2926">
        <v>1</v>
      </c>
      <c r="CB50" s="2926">
        <v>1</v>
      </c>
      <c r="CC50" s="2926">
        <v>1</v>
      </c>
      <c r="CD50" s="2926">
        <v>1</v>
      </c>
      <c r="CE50" s="2273"/>
      <c r="CG50" s="1937" t="s">
        <v>1619</v>
      </c>
      <c r="CH50" s="1941" t="s">
        <v>2545</v>
      </c>
      <c r="CI50" s="1942" t="s">
        <v>2546</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1619</v>
      </c>
      <c r="CY50" s="1941" t="s">
        <v>2545</v>
      </c>
      <c r="CZ50" s="1942" t="s">
        <v>2546</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2707</v>
      </c>
      <c r="AH51" s="1941" t="s">
        <v>2545</v>
      </c>
      <c r="AI51" s="1942" t="s">
        <v>2708</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2707</v>
      </c>
      <c r="AY51" s="1964" t="s">
        <v>2545</v>
      </c>
      <c r="AZ51" s="1965" t="s">
        <v>2708</v>
      </c>
      <c r="BA51" s="1966"/>
      <c r="BB51" s="1966"/>
      <c r="BC51" s="1966"/>
      <c r="BD51" s="1966"/>
      <c r="BE51" s="1966"/>
      <c r="BF51" s="1966"/>
      <c r="BG51" s="1966"/>
      <c r="BH51" s="1967"/>
      <c r="BI51" s="1966"/>
      <c r="BJ51" s="1966"/>
      <c r="BK51" s="1968"/>
      <c r="BL51" s="1966"/>
      <c r="BM51" s="1966"/>
      <c r="BO51" s="1961" t="s">
        <v>2707</v>
      </c>
      <c r="BP51" s="1964" t="s">
        <v>2545</v>
      </c>
      <c r="BQ51" s="1965"/>
      <c r="BR51" s="1969"/>
      <c r="BS51" s="1969"/>
      <c r="BT51" s="1969"/>
      <c r="BU51" s="1969"/>
      <c r="BV51" s="1969"/>
      <c r="BW51" s="1969"/>
      <c r="BX51" s="1969"/>
      <c r="BY51" s="2459"/>
      <c r="BZ51" s="1969"/>
      <c r="CA51" s="1969"/>
      <c r="CB51" s="1971"/>
      <c r="CC51" s="1969"/>
      <c r="CD51" s="1969"/>
      <c r="CE51" s="2273"/>
      <c r="CG51" s="1961" t="s">
        <v>1620</v>
      </c>
      <c r="CH51" s="1964" t="s">
        <v>2545</v>
      </c>
      <c r="CI51" s="1965"/>
      <c r="CJ51" s="2713"/>
      <c r="CK51" s="2713"/>
      <c r="CL51" s="2713"/>
      <c r="CM51" s="2713"/>
      <c r="CN51" s="2713"/>
      <c r="CO51" s="2713"/>
      <c r="CP51" s="2713"/>
      <c r="CQ51" s="2714"/>
      <c r="CR51" s="2713"/>
      <c r="CS51" s="2713"/>
      <c r="CT51" s="2715"/>
      <c r="CU51" s="2713"/>
      <c r="CV51" s="2713"/>
      <c r="CX51" s="1961"/>
      <c r="CY51" s="1964"/>
      <c r="CZ51" s="1965"/>
      <c r="DA51" s="2909"/>
      <c r="DB51" s="2909"/>
      <c r="DC51" s="2909"/>
      <c r="DD51" s="2909"/>
      <c r="DE51" s="2909"/>
      <c r="DF51" s="2909"/>
      <c r="DG51" s="2909"/>
      <c r="DH51" s="2910"/>
      <c r="DI51" s="2909"/>
      <c r="DJ51" s="2909"/>
      <c r="DK51" s="2911"/>
      <c r="DL51" s="2909"/>
      <c r="DM51" s="2909"/>
    </row>
    <row r="52" spans="2:117" hidden="1">
      <c r="B52" s="1916" t="str">
        <f t="shared" si="68"/>
        <v>4.1.3</v>
      </c>
      <c r="C52" s="1938">
        <f t="shared" si="1"/>
        <v>0</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2709</v>
      </c>
      <c r="AH52" s="1941" t="s">
        <v>2545</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2709</v>
      </c>
      <c r="AY52" s="1941" t="s">
        <v>2545</v>
      </c>
      <c r="AZ52" s="1942" t="s">
        <v>2547</v>
      </c>
      <c r="BA52" s="1944"/>
      <c r="BB52" s="1944"/>
      <c r="BC52" s="1944"/>
      <c r="BD52" s="1944"/>
      <c r="BE52" s="1944"/>
      <c r="BF52" s="1944"/>
      <c r="BG52" s="1944"/>
      <c r="BH52" s="1951"/>
      <c r="BI52" s="1944"/>
      <c r="BJ52" s="1944"/>
      <c r="BK52" s="1945"/>
      <c r="BL52" s="1944"/>
      <c r="BM52" s="1944"/>
      <c r="BO52" s="1937" t="s">
        <v>2709</v>
      </c>
      <c r="BP52" s="1941" t="s">
        <v>2545</v>
      </c>
      <c r="BQ52" s="1942"/>
      <c r="BR52" s="1974"/>
      <c r="BS52" s="1974"/>
      <c r="BT52" s="1974"/>
      <c r="BU52" s="1974"/>
      <c r="BV52" s="1974"/>
      <c r="BW52" s="1974"/>
      <c r="BX52" s="1974"/>
      <c r="BY52" s="2464"/>
      <c r="BZ52" s="1974"/>
      <c r="CA52" s="1974"/>
      <c r="CB52" s="1974"/>
      <c r="CC52" s="1974"/>
      <c r="CD52" s="1974"/>
      <c r="CE52" s="2273"/>
      <c r="CG52" s="1937" t="s">
        <v>2709</v>
      </c>
      <c r="CH52" s="1941" t="s">
        <v>2545</v>
      </c>
      <c r="CI52" s="1942" t="s">
        <v>2547</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2709</v>
      </c>
      <c r="CY52" s="1941" t="s">
        <v>2545</v>
      </c>
      <c r="CZ52" s="1942" t="s">
        <v>2547</v>
      </c>
      <c r="DA52" s="2695">
        <f t="shared" si="29"/>
        <v>0</v>
      </c>
      <c r="DB52" s="2695"/>
      <c r="DC52" s="2695"/>
      <c r="DD52" s="2695"/>
      <c r="DE52" s="2695"/>
      <c r="DF52" s="2695"/>
      <c r="DG52" s="2695"/>
      <c r="DH52" s="2904"/>
      <c r="DI52" s="2695"/>
      <c r="DJ52" s="2695"/>
      <c r="DK52" s="2695"/>
      <c r="DL52" s="2695"/>
      <c r="DM52" s="2695"/>
    </row>
    <row r="53" spans="2:117" hidden="1">
      <c r="B53" s="1916" t="str">
        <f t="shared" si="68"/>
        <v>4.1.4</v>
      </c>
      <c r="C53" s="1938">
        <f t="shared" si="1"/>
        <v>0</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2710</v>
      </c>
      <c r="AH53" s="1941" t="s">
        <v>2545</v>
      </c>
      <c r="AI53" s="1942" t="s">
        <v>2548</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2710</v>
      </c>
      <c r="AY53" s="1941" t="s">
        <v>2545</v>
      </c>
      <c r="AZ53" s="1942" t="s">
        <v>2548</v>
      </c>
      <c r="BA53" s="1944"/>
      <c r="BB53" s="1944"/>
      <c r="BC53" s="1944"/>
      <c r="BD53" s="1944"/>
      <c r="BE53" s="1944"/>
      <c r="BF53" s="1944"/>
      <c r="BG53" s="1944"/>
      <c r="BH53" s="1951"/>
      <c r="BI53" s="1944"/>
      <c r="BJ53" s="1944"/>
      <c r="BK53" s="1945"/>
      <c r="BL53" s="1944"/>
      <c r="BM53" s="1944"/>
      <c r="BO53" s="1937" t="s">
        <v>2710</v>
      </c>
      <c r="BP53" s="1941" t="s">
        <v>2545</v>
      </c>
      <c r="BQ53" s="1942"/>
      <c r="BR53" s="1974"/>
      <c r="BS53" s="1974"/>
      <c r="BT53" s="1974"/>
      <c r="BU53" s="1974"/>
      <c r="BV53" s="1974"/>
      <c r="BW53" s="1974"/>
      <c r="BX53" s="1974"/>
      <c r="BY53" s="2464"/>
      <c r="BZ53" s="1974"/>
      <c r="CA53" s="1974"/>
      <c r="CB53" s="1974"/>
      <c r="CC53" s="1974"/>
      <c r="CD53" s="1974"/>
      <c r="CE53" s="2273"/>
      <c r="CG53" s="1937" t="s">
        <v>2710</v>
      </c>
      <c r="CH53" s="1941" t="s">
        <v>2545</v>
      </c>
      <c r="CI53" s="1942" t="s">
        <v>2548</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2710</v>
      </c>
      <c r="CY53" s="1941" t="s">
        <v>2545</v>
      </c>
      <c r="CZ53" s="1942" t="s">
        <v>2548</v>
      </c>
      <c r="DA53" s="2695">
        <f t="shared" si="29"/>
        <v>0</v>
      </c>
      <c r="DB53" s="2695"/>
      <c r="DC53" s="2695"/>
      <c r="DD53" s="2695"/>
      <c r="DE53" s="2695"/>
      <c r="DF53" s="2695"/>
      <c r="DG53" s="2695"/>
      <c r="DH53" s="2904"/>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2544</v>
      </c>
      <c r="AI54" s="1938" t="s">
        <v>1000</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2544</v>
      </c>
      <c r="AZ54" s="1938" t="s">
        <v>1000</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2544</v>
      </c>
      <c r="BQ54" s="1938" t="s">
        <v>1000</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2544</v>
      </c>
      <c r="CI54" s="1938" t="s">
        <v>1000</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2544</v>
      </c>
      <c r="CZ54" s="1938" t="s">
        <v>1000</v>
      </c>
      <c r="DA54" s="2695">
        <f t="shared" si="29"/>
        <v>0.3</v>
      </c>
      <c r="DB54" s="2695"/>
      <c r="DC54" s="2695"/>
      <c r="DD54" s="2695"/>
      <c r="DE54" s="2695"/>
      <c r="DF54" s="2695"/>
      <c r="DG54" s="2695"/>
      <c r="DH54" s="2912"/>
      <c r="DI54" s="2695"/>
      <c r="DJ54" s="2695"/>
      <c r="DK54" s="2905"/>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2711</v>
      </c>
      <c r="AH55" s="1941" t="s">
        <v>2549</v>
      </c>
      <c r="AI55" s="1942" t="s">
        <v>2550</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2711</v>
      </c>
      <c r="AY55" s="1941" t="s">
        <v>2549</v>
      </c>
      <c r="AZ55" s="1942" t="s">
        <v>2550</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2711</v>
      </c>
      <c r="BP55" s="1941" t="s">
        <v>2549</v>
      </c>
      <c r="BQ55" s="1942" t="s">
        <v>2550</v>
      </c>
      <c r="BR55" s="2926">
        <f>0.25/(0.25+0.25+0.25)</f>
        <v>0.33333333333333331</v>
      </c>
      <c r="BS55" s="2926">
        <f t="shared" ref="BS55:BS57" si="71">0.25/(0.25+0.25+0.25)</f>
        <v>0.33333333333333331</v>
      </c>
      <c r="BT55" s="2926">
        <f>0.33/(0.33+0.33)</f>
        <v>0.5</v>
      </c>
      <c r="BU55" s="2926">
        <f>0.33/(0.33+0.33)</f>
        <v>0.5</v>
      </c>
      <c r="BV55" s="2926">
        <f>0.33/(0.33+0.33)</f>
        <v>0.5</v>
      </c>
      <c r="BW55" s="2926">
        <f>0.33/(0.33+0.33)</f>
        <v>0.5</v>
      </c>
      <c r="BX55" s="1974">
        <v>0.5</v>
      </c>
      <c r="BY55" s="2926">
        <f t="shared" ref="BY55:CD57" si="72">0.25/(0.25+0.25+0.25)</f>
        <v>0.33333333333333331</v>
      </c>
      <c r="BZ55" s="2926">
        <f t="shared" si="72"/>
        <v>0.33333333333333331</v>
      </c>
      <c r="CA55" s="2926">
        <f t="shared" si="72"/>
        <v>0.33333333333333331</v>
      </c>
      <c r="CB55" s="2926">
        <f t="shared" si="72"/>
        <v>0.33333333333333331</v>
      </c>
      <c r="CC55" s="2926">
        <f t="shared" si="72"/>
        <v>0.33333333333333331</v>
      </c>
      <c r="CD55" s="2926">
        <f t="shared" si="72"/>
        <v>0.33333333333333331</v>
      </c>
      <c r="CE55" s="2273"/>
      <c r="CG55" s="1937" t="s">
        <v>1621</v>
      </c>
      <c r="CH55" s="1941" t="s">
        <v>2549</v>
      </c>
      <c r="CI55" s="1942" t="s">
        <v>2550</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1621</v>
      </c>
      <c r="CY55" s="1941" t="s">
        <v>2549</v>
      </c>
      <c r="CZ55" s="1942" t="s">
        <v>2550</v>
      </c>
      <c r="DA55" s="2695">
        <f t="shared" si="29"/>
        <v>0.33333333333333331</v>
      </c>
      <c r="DB55" s="2695"/>
      <c r="DC55" s="2695"/>
      <c r="DD55" s="2695"/>
      <c r="DE55" s="2695"/>
      <c r="DF55" s="2695"/>
      <c r="DG55" s="2695"/>
      <c r="DH55" s="2904"/>
      <c r="DI55" s="2695"/>
      <c r="DJ55" s="2695"/>
      <c r="DK55" s="2905"/>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2712</v>
      </c>
      <c r="AH56" s="1941" t="s">
        <v>2549</v>
      </c>
      <c r="AI56" s="1942" t="s">
        <v>2551</v>
      </c>
      <c r="AJ56" s="1974">
        <v>0.25</v>
      </c>
      <c r="AK56" s="1974">
        <v>0.25</v>
      </c>
      <c r="AL56" s="1974"/>
      <c r="AM56" s="1974"/>
      <c r="AN56" s="1974"/>
      <c r="AO56" s="1974"/>
      <c r="AP56" s="1974"/>
      <c r="AQ56" s="1975"/>
      <c r="AR56" s="1974">
        <v>0.25</v>
      </c>
      <c r="AS56" s="1944">
        <v>0.25</v>
      </c>
      <c r="AT56" s="1945">
        <v>0.25</v>
      </c>
      <c r="AU56" s="1944">
        <v>0.25</v>
      </c>
      <c r="AV56" s="1944">
        <v>0.33</v>
      </c>
      <c r="AX56" s="1937" t="s">
        <v>2712</v>
      </c>
      <c r="AY56" s="1941" t="s">
        <v>2549</v>
      </c>
      <c r="AZ56" s="1942" t="s">
        <v>2551</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2712</v>
      </c>
      <c r="BP56" s="1941" t="s">
        <v>2549</v>
      </c>
      <c r="BQ56" s="1942" t="s">
        <v>2551</v>
      </c>
      <c r="BR56" s="2926">
        <f t="shared" ref="BR56:BR57" si="73">0.25/(0.25+0.25+0.25)</f>
        <v>0.33333333333333331</v>
      </c>
      <c r="BS56" s="2926">
        <f t="shared" si="71"/>
        <v>0.33333333333333331</v>
      </c>
      <c r="BT56" s="1974"/>
      <c r="BU56" s="1974"/>
      <c r="BV56" s="1974"/>
      <c r="BW56" s="1974"/>
      <c r="BX56" s="1974"/>
      <c r="BY56" s="2926">
        <f t="shared" si="72"/>
        <v>0.33333333333333331</v>
      </c>
      <c r="BZ56" s="2926">
        <f t="shared" si="72"/>
        <v>0.33333333333333331</v>
      </c>
      <c r="CA56" s="2926">
        <f t="shared" si="72"/>
        <v>0.33333333333333331</v>
      </c>
      <c r="CB56" s="2926">
        <f t="shared" si="72"/>
        <v>0.33333333333333331</v>
      </c>
      <c r="CC56" s="2926">
        <f t="shared" si="72"/>
        <v>0.33333333333333331</v>
      </c>
      <c r="CD56" s="2926">
        <f t="shared" si="72"/>
        <v>0.33333333333333331</v>
      </c>
      <c r="CE56" s="2273"/>
      <c r="CG56" s="1937" t="s">
        <v>1622</v>
      </c>
      <c r="CH56" s="1941" t="s">
        <v>2549</v>
      </c>
      <c r="CI56" s="1942" t="s">
        <v>2551</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1622</v>
      </c>
      <c r="CY56" s="1941" t="s">
        <v>2549</v>
      </c>
      <c r="CZ56" s="1942" t="s">
        <v>2551</v>
      </c>
      <c r="DA56" s="2695">
        <f t="shared" si="29"/>
        <v>0.33333333333333331</v>
      </c>
      <c r="DB56" s="2695"/>
      <c r="DC56" s="2695"/>
      <c r="DD56" s="2695"/>
      <c r="DE56" s="2695"/>
      <c r="DF56" s="2695"/>
      <c r="DG56" s="2695"/>
      <c r="DH56" s="2912"/>
      <c r="DI56" s="2695"/>
      <c r="DJ56" s="2695"/>
      <c r="DK56" s="2905"/>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2713</v>
      </c>
      <c r="AH57" s="1941" t="s">
        <v>2549</v>
      </c>
      <c r="AI57" s="1942" t="s">
        <v>2552</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2713</v>
      </c>
      <c r="AY57" s="1941" t="s">
        <v>2549</v>
      </c>
      <c r="AZ57" s="1942" t="s">
        <v>2552</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2713</v>
      </c>
      <c r="BP57" s="1941" t="s">
        <v>2549</v>
      </c>
      <c r="BQ57" s="1942" t="s">
        <v>2552</v>
      </c>
      <c r="BR57" s="2926">
        <f t="shared" si="73"/>
        <v>0.33333333333333331</v>
      </c>
      <c r="BS57" s="2926">
        <f t="shared" si="71"/>
        <v>0.33333333333333331</v>
      </c>
      <c r="BT57" s="2926">
        <f>0.33/(0.33+0.33)</f>
        <v>0.5</v>
      </c>
      <c r="BU57" s="2926">
        <f>0.33/(0.33+0.33)</f>
        <v>0.5</v>
      </c>
      <c r="BV57" s="2926">
        <f>0.33/(0.33+0.33)</f>
        <v>0.5</v>
      </c>
      <c r="BW57" s="2926">
        <f>0.33/(0.33+0.33)</f>
        <v>0.5</v>
      </c>
      <c r="BX57" s="1974">
        <v>0.5</v>
      </c>
      <c r="BY57" s="2926">
        <f t="shared" si="72"/>
        <v>0.33333333333333331</v>
      </c>
      <c r="BZ57" s="2926">
        <f t="shared" si="72"/>
        <v>0.33333333333333331</v>
      </c>
      <c r="CA57" s="2926">
        <f t="shared" si="72"/>
        <v>0.33333333333333331</v>
      </c>
      <c r="CB57" s="2926">
        <f t="shared" si="72"/>
        <v>0.33333333333333331</v>
      </c>
      <c r="CC57" s="2926">
        <f t="shared" si="72"/>
        <v>0.33333333333333331</v>
      </c>
      <c r="CD57" s="2926">
        <f t="shared" si="72"/>
        <v>0.33333333333333331</v>
      </c>
      <c r="CE57" s="2273"/>
      <c r="CG57" s="1937" t="s">
        <v>2713</v>
      </c>
      <c r="CH57" s="1941" t="s">
        <v>2549</v>
      </c>
      <c r="CI57" s="1942" t="s">
        <v>2552</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2713</v>
      </c>
      <c r="CY57" s="1941" t="s">
        <v>2549</v>
      </c>
      <c r="CZ57" s="1942" t="s">
        <v>2552</v>
      </c>
      <c r="DA57" s="2695">
        <f t="shared" si="29"/>
        <v>0.33333333333333331</v>
      </c>
      <c r="DB57" s="2695"/>
      <c r="DC57" s="2695"/>
      <c r="DD57" s="2695"/>
      <c r="DE57" s="2695"/>
      <c r="DF57" s="2695"/>
      <c r="DG57" s="2695"/>
      <c r="DH57" s="2904"/>
      <c r="DI57" s="2695"/>
      <c r="DJ57" s="2695"/>
      <c r="DK57" s="2905"/>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2714</v>
      </c>
      <c r="AH58" s="1941" t="s">
        <v>2549</v>
      </c>
      <c r="AI58" s="1942" t="s">
        <v>2715</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2714</v>
      </c>
      <c r="AY58" s="1941" t="s">
        <v>2549</v>
      </c>
      <c r="AZ58" s="1942" t="s">
        <v>2715</v>
      </c>
      <c r="BA58" s="1944"/>
      <c r="BB58" s="1944"/>
      <c r="BC58" s="1944"/>
      <c r="BD58" s="1944"/>
      <c r="BE58" s="1944"/>
      <c r="BF58" s="1944"/>
      <c r="BG58" s="1944"/>
      <c r="BH58" s="1951"/>
      <c r="BI58" s="1944"/>
      <c r="BJ58" s="1944"/>
      <c r="BK58" s="1945"/>
      <c r="BL58" s="1944"/>
      <c r="BM58" s="1944"/>
      <c r="BO58" s="1961" t="s">
        <v>2714</v>
      </c>
      <c r="BP58" s="1964" t="s">
        <v>2549</v>
      </c>
      <c r="BQ58" s="1965"/>
      <c r="BR58" s="1969"/>
      <c r="BS58" s="1969"/>
      <c r="BT58" s="1969"/>
      <c r="BU58" s="1969"/>
      <c r="BV58" s="1969"/>
      <c r="BW58" s="1969"/>
      <c r="BX58" s="1969"/>
      <c r="BY58" s="1969"/>
      <c r="BZ58" s="1969"/>
      <c r="CA58" s="1969"/>
      <c r="CB58" s="1971"/>
      <c r="CC58" s="1969"/>
      <c r="CD58" s="1969"/>
      <c r="CE58" s="2273"/>
      <c r="CG58" s="1961" t="s">
        <v>2714</v>
      </c>
      <c r="CH58" s="1964" t="s">
        <v>2549</v>
      </c>
      <c r="CI58" s="1965"/>
      <c r="CJ58" s="2713"/>
      <c r="CK58" s="2713"/>
      <c r="CL58" s="2713"/>
      <c r="CM58" s="2713"/>
      <c r="CN58" s="2713"/>
      <c r="CO58" s="2713"/>
      <c r="CP58" s="2713"/>
      <c r="CQ58" s="2713"/>
      <c r="CR58" s="2713"/>
      <c r="CS58" s="2713"/>
      <c r="CT58" s="2715"/>
      <c r="CU58" s="2713"/>
      <c r="CV58" s="2713"/>
      <c r="CX58" s="1961"/>
      <c r="CY58" s="1964"/>
      <c r="CZ58" s="1965"/>
      <c r="DA58" s="2909"/>
      <c r="DB58" s="2909"/>
      <c r="DC58" s="2909"/>
      <c r="DD58" s="2909"/>
      <c r="DE58" s="2909"/>
      <c r="DF58" s="2909"/>
      <c r="DG58" s="2909"/>
      <c r="DH58" s="2909"/>
      <c r="DI58" s="2909"/>
      <c r="DJ58" s="2909"/>
      <c r="DK58" s="2911"/>
      <c r="DL58" s="2909"/>
      <c r="DM58" s="2909"/>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2544</v>
      </c>
      <c r="AI59" s="1938" t="s">
        <v>2365</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2544</v>
      </c>
      <c r="AZ59" s="1938" t="s">
        <v>2365</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2544</v>
      </c>
      <c r="BQ59" s="1938" t="s">
        <v>2365</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2544</v>
      </c>
      <c r="CI59" s="1938" t="s">
        <v>2365</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2544</v>
      </c>
      <c r="CZ59" s="1938" t="s">
        <v>2365</v>
      </c>
      <c r="DA59" s="2695">
        <f t="shared" si="29"/>
        <v>0.2</v>
      </c>
      <c r="DB59" s="2695"/>
      <c r="DC59" s="2695"/>
      <c r="DD59" s="2695"/>
      <c r="DE59" s="2695"/>
      <c r="DF59" s="2695"/>
      <c r="DG59" s="2695"/>
      <c r="DH59" s="2912"/>
      <c r="DI59" s="2695"/>
      <c r="DJ59" s="2695"/>
      <c r="DK59" s="2905"/>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2716</v>
      </c>
      <c r="AH60" s="1941" t="s">
        <v>2553</v>
      </c>
      <c r="AI60" s="1942" t="s">
        <v>2717</v>
      </c>
      <c r="AJ60" s="1974">
        <v>0.5</v>
      </c>
      <c r="AK60" s="1974">
        <v>0.5</v>
      </c>
      <c r="AL60" s="1974">
        <v>0.5</v>
      </c>
      <c r="AM60" s="1974">
        <v>0.5</v>
      </c>
      <c r="AN60" s="1974"/>
      <c r="AO60" s="1974"/>
      <c r="AP60" s="1974"/>
      <c r="AQ60" s="1975">
        <v>0.5</v>
      </c>
      <c r="AR60" s="1974">
        <v>0.5</v>
      </c>
      <c r="AS60" s="1944">
        <v>0.5</v>
      </c>
      <c r="AT60" s="1945"/>
      <c r="AU60" s="1944"/>
      <c r="AV60" s="1944"/>
      <c r="AX60" s="1937" t="s">
        <v>2716</v>
      </c>
      <c r="AY60" s="1941" t="s">
        <v>2553</v>
      </c>
      <c r="AZ60" s="1942" t="s">
        <v>2717</v>
      </c>
      <c r="BA60" s="1944">
        <v>0.5</v>
      </c>
      <c r="BB60" s="1944">
        <v>0.5</v>
      </c>
      <c r="BC60" s="1944">
        <v>0.5</v>
      </c>
      <c r="BD60" s="1944">
        <v>0.5</v>
      </c>
      <c r="BE60" s="1944"/>
      <c r="BF60" s="1944"/>
      <c r="BG60" s="1944"/>
      <c r="BH60" s="1951">
        <v>0.5</v>
      </c>
      <c r="BI60" s="1944">
        <v>0.5</v>
      </c>
      <c r="BJ60" s="1944">
        <v>0.5</v>
      </c>
      <c r="BK60" s="1945"/>
      <c r="BL60" s="1944"/>
      <c r="BM60" s="1944"/>
      <c r="BO60" s="1937" t="s">
        <v>2716</v>
      </c>
      <c r="BP60" s="1941" t="s">
        <v>2553</v>
      </c>
      <c r="BQ60" s="1942" t="s">
        <v>2717</v>
      </c>
      <c r="BR60" s="1974">
        <v>0.5</v>
      </c>
      <c r="BS60" s="1974">
        <v>0.5</v>
      </c>
      <c r="BT60" s="1974">
        <v>0.5</v>
      </c>
      <c r="BU60" s="1974">
        <v>0.5</v>
      </c>
      <c r="BV60" s="1974"/>
      <c r="BW60" s="1974"/>
      <c r="BX60" s="1974"/>
      <c r="BY60" s="2463">
        <v>0.5</v>
      </c>
      <c r="BZ60" s="1974">
        <v>0.5</v>
      </c>
      <c r="CA60" s="1974">
        <v>0.5</v>
      </c>
      <c r="CB60" s="1976"/>
      <c r="CC60" s="1974"/>
      <c r="CD60" s="1974"/>
      <c r="CE60" s="2273"/>
      <c r="CG60" s="1937" t="s">
        <v>2716</v>
      </c>
      <c r="CH60" s="1941" t="s">
        <v>2553</v>
      </c>
      <c r="CI60" s="1942" t="s">
        <v>2717</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2716</v>
      </c>
      <c r="CY60" s="1941" t="s">
        <v>2553</v>
      </c>
      <c r="CZ60" s="1942" t="s">
        <v>2717</v>
      </c>
      <c r="DA60" s="2695">
        <f t="shared" si="29"/>
        <v>0.5</v>
      </c>
      <c r="DB60" s="2695"/>
      <c r="DC60" s="2695"/>
      <c r="DD60" s="2695"/>
      <c r="DE60" s="2695"/>
      <c r="DF60" s="2695"/>
      <c r="DG60" s="2695"/>
      <c r="DH60" s="2912"/>
      <c r="DI60" s="2695"/>
      <c r="DJ60" s="2695"/>
      <c r="DK60" s="2905"/>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2718</v>
      </c>
      <c r="AH61" s="1941" t="s">
        <v>2553</v>
      </c>
      <c r="AI61" s="1942" t="s">
        <v>2719</v>
      </c>
      <c r="AJ61" s="1974">
        <v>0.5</v>
      </c>
      <c r="AK61" s="1974">
        <v>0.5</v>
      </c>
      <c r="AL61" s="1974">
        <v>0.5</v>
      </c>
      <c r="AM61" s="1974">
        <v>0.5</v>
      </c>
      <c r="AN61" s="1974">
        <v>1</v>
      </c>
      <c r="AO61" s="1974">
        <v>1</v>
      </c>
      <c r="AP61" s="1974"/>
      <c r="AQ61" s="1975">
        <v>0.5</v>
      </c>
      <c r="AR61" s="1974">
        <v>0.5</v>
      </c>
      <c r="AS61" s="1944">
        <v>0.5</v>
      </c>
      <c r="AT61" s="1945"/>
      <c r="AU61" s="1944"/>
      <c r="AV61" s="1944"/>
      <c r="AX61" s="1937" t="s">
        <v>2718</v>
      </c>
      <c r="AY61" s="1941" t="s">
        <v>2553</v>
      </c>
      <c r="AZ61" s="1942" t="s">
        <v>2719</v>
      </c>
      <c r="BA61" s="1944">
        <v>0.5</v>
      </c>
      <c r="BB61" s="1944">
        <v>0.5</v>
      </c>
      <c r="BC61" s="1944">
        <v>0.5</v>
      </c>
      <c r="BD61" s="1944">
        <v>0.5</v>
      </c>
      <c r="BE61" s="1944">
        <v>1</v>
      </c>
      <c r="BF61" s="1944">
        <v>1</v>
      </c>
      <c r="BG61" s="1944"/>
      <c r="BH61" s="1951">
        <v>0.5</v>
      </c>
      <c r="BI61" s="1944">
        <v>0.5</v>
      </c>
      <c r="BJ61" s="1944">
        <v>0.5</v>
      </c>
      <c r="BK61" s="1945"/>
      <c r="BL61" s="1944"/>
      <c r="BM61" s="1944"/>
      <c r="BO61" s="1937" t="s">
        <v>2718</v>
      </c>
      <c r="BP61" s="1941" t="s">
        <v>2553</v>
      </c>
      <c r="BQ61" s="1942" t="s">
        <v>2719</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2718</v>
      </c>
      <c r="CH61" s="1941" t="s">
        <v>2553</v>
      </c>
      <c r="CI61" s="1942" t="s">
        <v>2719</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2718</v>
      </c>
      <c r="CY61" s="1941" t="s">
        <v>2553</v>
      </c>
      <c r="CZ61" s="1942" t="s">
        <v>2719</v>
      </c>
      <c r="DA61" s="2695">
        <f t="shared" si="29"/>
        <v>0.5</v>
      </c>
      <c r="DB61" s="2695"/>
      <c r="DC61" s="2695"/>
      <c r="DD61" s="2695"/>
      <c r="DE61" s="2695"/>
      <c r="DF61" s="2695"/>
      <c r="DG61" s="2695"/>
      <c r="DH61" s="2912"/>
      <c r="DI61" s="2695"/>
      <c r="DJ61" s="2695"/>
      <c r="DK61" s="2905"/>
      <c r="DL61" s="2695"/>
      <c r="DM61" s="2695"/>
    </row>
    <row r="62" spans="2:117">
      <c r="B62" s="1916" t="str">
        <f t="shared" si="68"/>
        <v>Q2</v>
      </c>
      <c r="C62" s="1919" t="str">
        <f t="shared" si="1"/>
        <v>サービス性能</v>
      </c>
      <c r="D62" s="1917">
        <f>IF(I$8=0,0,G62/I$8)</f>
        <v>0.3</v>
      </c>
      <c r="E62" s="1918">
        <f>IF(J$8=0,0,H62/J$8)</f>
        <v>0</v>
      </c>
      <c r="G62" s="1918">
        <f t="shared" si="64"/>
        <v>0.3</v>
      </c>
      <c r="H62" s="1918">
        <f t="shared" si="65"/>
        <v>0</v>
      </c>
      <c r="I62" s="1918">
        <f>G63+G78+G100</f>
        <v>1</v>
      </c>
      <c r="J62" s="1918">
        <f>H63+H78+H100</f>
        <v>0</v>
      </c>
      <c r="K62" s="1918">
        <f>IF(スコア!T62=0,0,1)</f>
        <v>1</v>
      </c>
      <c r="L62" s="1918">
        <f>IF(スコア!R62=0,0,1)</f>
        <v>0</v>
      </c>
      <c r="M62" s="1918">
        <f t="shared" si="66"/>
        <v>0.3</v>
      </c>
      <c r="N62" s="1918">
        <f t="shared" si="67"/>
        <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2720</v>
      </c>
      <c r="AH62" s="1921" t="s">
        <v>952</v>
      </c>
      <c r="AI62" s="1919" t="s">
        <v>2721</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2720</v>
      </c>
      <c r="AY62" s="1921" t="s">
        <v>952</v>
      </c>
      <c r="AZ62" s="1919" t="s">
        <v>2721</v>
      </c>
      <c r="BA62" s="1922">
        <v>0.3</v>
      </c>
      <c r="BB62" s="1922">
        <v>0.3</v>
      </c>
      <c r="BC62" s="1922">
        <v>0.3</v>
      </c>
      <c r="BD62" s="1922">
        <v>0.3</v>
      </c>
      <c r="BE62" s="1922">
        <v>0.3</v>
      </c>
      <c r="BF62" s="1922">
        <v>0.3</v>
      </c>
      <c r="BG62" s="1922">
        <v>0.3</v>
      </c>
      <c r="BH62" s="1922">
        <v>0.3</v>
      </c>
      <c r="BI62" s="1922">
        <v>0.3</v>
      </c>
      <c r="BJ62" s="1922">
        <v>0.3</v>
      </c>
      <c r="BK62" s="1923"/>
      <c r="BL62" s="1922"/>
      <c r="BM62" s="1922"/>
      <c r="BO62" s="1916" t="s">
        <v>2720</v>
      </c>
      <c r="BP62" s="1921" t="s">
        <v>952</v>
      </c>
      <c r="BQ62" s="1919" t="s">
        <v>2721</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2427</v>
      </c>
      <c r="CH62" s="1921" t="s">
        <v>952</v>
      </c>
      <c r="CI62" s="1919" t="s">
        <v>1932</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2427</v>
      </c>
      <c r="CY62" s="1921" t="s">
        <v>952</v>
      </c>
      <c r="CZ62" s="1919" t="s">
        <v>1932</v>
      </c>
      <c r="DA62" s="2923">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0.4</v>
      </c>
      <c r="E63" s="1925">
        <f>IF(J$62=0,0,H63/J$62)</f>
        <v>0</v>
      </c>
      <c r="G63" s="1925">
        <f t="shared" si="64"/>
        <v>0.4</v>
      </c>
      <c r="H63" s="1925">
        <f t="shared" si="65"/>
        <v>0</v>
      </c>
      <c r="I63" s="1925">
        <f>G64+G68+G74</f>
        <v>1</v>
      </c>
      <c r="J63" s="1925">
        <f>H64+H68+H74</f>
        <v>0</v>
      </c>
      <c r="K63" s="1925">
        <f>IF(L63&gt;0,1,IF(スコア!O63=0,0,1))</f>
        <v>1</v>
      </c>
      <c r="L63" s="1925">
        <f>IF(スコア!R63=0,0,1)</f>
        <v>0</v>
      </c>
      <c r="M63" s="1925">
        <f t="shared" si="66"/>
        <v>0.4</v>
      </c>
      <c r="N63" s="1925">
        <f t="shared" si="67"/>
        <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2554</v>
      </c>
      <c r="AI63" s="1928" t="s">
        <v>2555</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2554</v>
      </c>
      <c r="AZ63" s="1928" t="s">
        <v>2555</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2554</v>
      </c>
      <c r="BQ63" s="1928" t="s">
        <v>2555</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2554</v>
      </c>
      <c r="CI63" s="1928" t="s">
        <v>2555</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2554</v>
      </c>
      <c r="CZ63" s="1928" t="s">
        <v>2555</v>
      </c>
      <c r="DA63" s="2927">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2556</v>
      </c>
      <c r="AI64" s="1942" t="s">
        <v>2557</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2556</v>
      </c>
      <c r="AZ64" s="1942" t="s">
        <v>2557</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2556</v>
      </c>
      <c r="BQ64" s="1942" t="s">
        <v>2557</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2556</v>
      </c>
      <c r="CI64" s="1942" t="s">
        <v>2557</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2556</v>
      </c>
      <c r="CZ64" s="1942" t="s">
        <v>2557</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2722</v>
      </c>
      <c r="AH65" s="1941" t="s">
        <v>2558</v>
      </c>
      <c r="AI65" s="1942" t="s">
        <v>2559</v>
      </c>
      <c r="AJ65" s="1977">
        <v>0.33333333333333331</v>
      </c>
      <c r="AK65" s="1939"/>
      <c r="AL65" s="1939"/>
      <c r="AM65" s="1939"/>
      <c r="AN65" s="1939"/>
      <c r="AO65" s="1939"/>
      <c r="AP65" s="1939"/>
      <c r="AQ65" s="1955"/>
      <c r="AR65" s="1977">
        <v>0.33333333333333331</v>
      </c>
      <c r="AS65" s="1958">
        <v>0.5</v>
      </c>
      <c r="AT65" s="1945">
        <v>1</v>
      </c>
      <c r="AU65" s="1944">
        <v>0.5</v>
      </c>
      <c r="AV65" s="1944"/>
      <c r="AX65" s="1937" t="s">
        <v>2722</v>
      </c>
      <c r="AY65" s="1941" t="s">
        <v>2558</v>
      </c>
      <c r="AZ65" s="1942" t="s">
        <v>2559</v>
      </c>
      <c r="BA65" s="1944">
        <v>0.33333333333333331</v>
      </c>
      <c r="BB65" s="1944"/>
      <c r="BC65" s="1944"/>
      <c r="BD65" s="1944"/>
      <c r="BE65" s="1944"/>
      <c r="BF65" s="1944"/>
      <c r="BG65" s="1944"/>
      <c r="BH65" s="1951"/>
      <c r="BI65" s="1944">
        <v>0.33333333333333331</v>
      </c>
      <c r="BJ65" s="1944">
        <v>0.5</v>
      </c>
      <c r="BK65" s="1945">
        <v>1</v>
      </c>
      <c r="BL65" s="1944">
        <v>0.5</v>
      </c>
      <c r="BM65" s="1944"/>
      <c r="BO65" s="1937" t="s">
        <v>2722</v>
      </c>
      <c r="BP65" s="1941" t="s">
        <v>2558</v>
      </c>
      <c r="BQ65" s="1942" t="s">
        <v>2559</v>
      </c>
      <c r="BR65" s="1944">
        <v>0.33333333333333331</v>
      </c>
      <c r="BS65" s="1944"/>
      <c r="BT65" s="1944"/>
      <c r="BU65" s="1944"/>
      <c r="BV65" s="1944"/>
      <c r="BW65" s="1944"/>
      <c r="BX65" s="1944"/>
      <c r="BY65" s="1951"/>
      <c r="BZ65" s="1944">
        <v>0.33333333333333331</v>
      </c>
      <c r="CA65" s="1944"/>
      <c r="CB65" s="1945">
        <v>1</v>
      </c>
      <c r="CC65" s="1944">
        <v>0.5</v>
      </c>
      <c r="CD65" s="1944"/>
      <c r="CE65" s="2272"/>
      <c r="CG65" s="1937" t="s">
        <v>2722</v>
      </c>
      <c r="CH65" s="1941" t="s">
        <v>2558</v>
      </c>
      <c r="CI65" s="1942" t="s">
        <v>2559</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2722</v>
      </c>
      <c r="CY65" s="1941" t="s">
        <v>2558</v>
      </c>
      <c r="CZ65" s="1942" t="s">
        <v>2559</v>
      </c>
      <c r="DA65" s="2695">
        <f t="shared" si="29"/>
        <v>0.33333333333333331</v>
      </c>
      <c r="DB65" s="2695"/>
      <c r="DC65" s="2695"/>
      <c r="DD65" s="2695"/>
      <c r="DE65" s="2695"/>
      <c r="DF65" s="2695"/>
      <c r="DG65" s="2695"/>
      <c r="DH65" s="2778"/>
      <c r="DI65" s="2695"/>
      <c r="DJ65" s="2695"/>
      <c r="DK65" s="2905"/>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2723</v>
      </c>
      <c r="AH66" s="1941" t="s">
        <v>2558</v>
      </c>
      <c r="AI66" s="1942" t="s">
        <v>2724</v>
      </c>
      <c r="AJ66" s="1977">
        <v>0.33333333333333331</v>
      </c>
      <c r="AK66" s="1939"/>
      <c r="AL66" s="1939"/>
      <c r="AM66" s="1939"/>
      <c r="AN66" s="1939"/>
      <c r="AO66" s="1939"/>
      <c r="AP66" s="1939"/>
      <c r="AQ66" s="1955"/>
      <c r="AR66" s="1977">
        <v>0.33333333333333331</v>
      </c>
      <c r="AS66" s="1958"/>
      <c r="AT66" s="1945"/>
      <c r="AU66" s="1944">
        <v>0.5</v>
      </c>
      <c r="AV66" s="1944">
        <v>1</v>
      </c>
      <c r="AX66" s="1937" t="s">
        <v>2723</v>
      </c>
      <c r="AY66" s="1941" t="s">
        <v>2558</v>
      </c>
      <c r="AZ66" s="1942" t="s">
        <v>2724</v>
      </c>
      <c r="BA66" s="1944">
        <v>0.33333333333333331</v>
      </c>
      <c r="BB66" s="1944"/>
      <c r="BC66" s="1944"/>
      <c r="BD66" s="1944"/>
      <c r="BE66" s="1944"/>
      <c r="BF66" s="1944"/>
      <c r="BG66" s="1944"/>
      <c r="BH66" s="1951"/>
      <c r="BI66" s="1944">
        <v>0.33333333333333331</v>
      </c>
      <c r="BJ66" s="1944"/>
      <c r="BK66" s="1945"/>
      <c r="BL66" s="1944">
        <v>0.5</v>
      </c>
      <c r="BM66" s="1944">
        <v>1</v>
      </c>
      <c r="BO66" s="1937" t="s">
        <v>2723</v>
      </c>
      <c r="BP66" s="1941" t="s">
        <v>2558</v>
      </c>
      <c r="BQ66" s="1942" t="s">
        <v>2724</v>
      </c>
      <c r="BR66" s="1944">
        <v>0.33333333333333331</v>
      </c>
      <c r="BS66" s="1944"/>
      <c r="BT66" s="1944"/>
      <c r="BU66" s="1944"/>
      <c r="BV66" s="1944"/>
      <c r="BW66" s="1944"/>
      <c r="BX66" s="1944"/>
      <c r="BY66" s="1951"/>
      <c r="BZ66" s="1944">
        <v>0.33333333333333331</v>
      </c>
      <c r="CA66" s="1944"/>
      <c r="CB66" s="1945"/>
      <c r="CC66" s="1944">
        <v>0.5</v>
      </c>
      <c r="CD66" s="1944">
        <v>1</v>
      </c>
      <c r="CE66" s="2272"/>
      <c r="CG66" s="1937" t="s">
        <v>2723</v>
      </c>
      <c r="CH66" s="1941" t="s">
        <v>2558</v>
      </c>
      <c r="CI66" s="1942" t="s">
        <v>2724</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2723</v>
      </c>
      <c r="CY66" s="1941" t="s">
        <v>2558</v>
      </c>
      <c r="CZ66" s="1942" t="s">
        <v>2724</v>
      </c>
      <c r="DA66" s="2695">
        <f t="shared" si="29"/>
        <v>0.33333333333333331</v>
      </c>
      <c r="DB66" s="2695"/>
      <c r="DC66" s="2695"/>
      <c r="DD66" s="2695"/>
      <c r="DE66" s="2695"/>
      <c r="DF66" s="2695"/>
      <c r="DG66" s="2695"/>
      <c r="DH66" s="2778"/>
      <c r="DI66" s="2695"/>
      <c r="DJ66" s="2695"/>
      <c r="DK66" s="2905"/>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2725</v>
      </c>
      <c r="AH67" s="1941" t="s">
        <v>2558</v>
      </c>
      <c r="AI67" s="1942" t="s">
        <v>2560</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2725</v>
      </c>
      <c r="AY67" s="1941" t="s">
        <v>2558</v>
      </c>
      <c r="AZ67" s="1942" t="s">
        <v>2560</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2725</v>
      </c>
      <c r="BP67" s="1941" t="s">
        <v>2558</v>
      </c>
      <c r="BQ67" s="1942" t="s">
        <v>2560</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2725</v>
      </c>
      <c r="CH67" s="1941" t="s">
        <v>2558</v>
      </c>
      <c r="CI67" s="1942" t="s">
        <v>2560</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2725</v>
      </c>
      <c r="CY67" s="1941" t="s">
        <v>2558</v>
      </c>
      <c r="CZ67" s="1942" t="s">
        <v>2560</v>
      </c>
      <c r="DA67" s="2695">
        <f t="shared" si="29"/>
        <v>0.33333333333333331</v>
      </c>
      <c r="DB67" s="2695"/>
      <c r="DC67" s="2695"/>
      <c r="DD67" s="2695"/>
      <c r="DE67" s="2695"/>
      <c r="DF67" s="2695"/>
      <c r="DG67" s="2695"/>
      <c r="DH67" s="2778"/>
      <c r="DI67" s="2695"/>
      <c r="DJ67" s="2695"/>
      <c r="DK67" s="2905"/>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2556</v>
      </c>
      <c r="AI68" s="1942" t="s">
        <v>2639</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2556</v>
      </c>
      <c r="AZ68" s="1942" t="s">
        <v>2639</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2556</v>
      </c>
      <c r="BQ68" s="1942" t="s">
        <v>2639</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2556</v>
      </c>
      <c r="CI68" s="1942" t="s">
        <v>2639</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2556</v>
      </c>
      <c r="CZ68" s="1942" t="s">
        <v>2639</v>
      </c>
      <c r="DA68" s="2931">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2726</v>
      </c>
      <c r="AH69" s="1941" t="s">
        <v>2561</v>
      </c>
      <c r="AI69" s="1942" t="s">
        <v>2562</v>
      </c>
      <c r="AJ69" s="1977">
        <v>0.33333333333333331</v>
      </c>
      <c r="AK69" s="1939"/>
      <c r="AL69" s="1939"/>
      <c r="AM69" s="1939"/>
      <c r="AN69" s="1939"/>
      <c r="AO69" s="1939"/>
      <c r="AP69" s="1939"/>
      <c r="AQ69" s="1955"/>
      <c r="AR69" s="1939"/>
      <c r="AS69" s="1944"/>
      <c r="AT69" s="1945"/>
      <c r="AU69" s="1945"/>
      <c r="AV69" s="1945"/>
      <c r="AX69" s="1937" t="s">
        <v>2726</v>
      </c>
      <c r="AY69" s="1941" t="s">
        <v>2561</v>
      </c>
      <c r="AZ69" s="1942" t="s">
        <v>2562</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2726</v>
      </c>
      <c r="BP69" s="1941" t="s">
        <v>2561</v>
      </c>
      <c r="BQ69" s="1942" t="s">
        <v>2562</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2561</v>
      </c>
      <c r="CI69" s="1942" t="s">
        <v>2562</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2561</v>
      </c>
      <c r="CZ69" s="2929" t="s">
        <v>3478</v>
      </c>
      <c r="DA69" s="2931">
        <v>0.15</v>
      </c>
      <c r="DB69" s="2695"/>
      <c r="DC69" s="2695"/>
      <c r="DD69" s="2695"/>
      <c r="DE69" s="2695"/>
      <c r="DF69" s="2695"/>
      <c r="DG69" s="2695"/>
      <c r="DH69" s="2778"/>
      <c r="DI69" s="2695"/>
      <c r="DJ69" s="2695"/>
      <c r="DK69" s="2905"/>
      <c r="DL69" s="2905"/>
      <c r="DM69" s="2905"/>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3480</v>
      </c>
      <c r="CY70" s="1941" t="s">
        <v>2561</v>
      </c>
      <c r="CZ70" s="2929" t="s">
        <v>3479</v>
      </c>
      <c r="DA70" s="2931">
        <v>0.15</v>
      </c>
      <c r="DB70" s="2695"/>
      <c r="DC70" s="2695"/>
      <c r="DD70" s="2695"/>
      <c r="DE70" s="2695"/>
      <c r="DF70" s="2695"/>
      <c r="DG70" s="2695"/>
      <c r="DH70" s="2778"/>
      <c r="DI70" s="2695"/>
      <c r="DJ70" s="2695"/>
      <c r="DK70" s="2905"/>
      <c r="DL70" s="2905"/>
      <c r="DM70" s="2905"/>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2727</v>
      </c>
      <c r="AH71" s="1941" t="s">
        <v>2561</v>
      </c>
      <c r="AI71" s="1942" t="s">
        <v>2563</v>
      </c>
      <c r="AJ71" s="1977">
        <v>0.33333333333333331</v>
      </c>
      <c r="AK71" s="1939"/>
      <c r="AL71" s="1939">
        <v>0.5</v>
      </c>
      <c r="AM71" s="1939"/>
      <c r="AN71" s="1939"/>
      <c r="AO71" s="1939"/>
      <c r="AP71" s="1939"/>
      <c r="AQ71" s="1955"/>
      <c r="AR71" s="1939"/>
      <c r="AS71" s="1944"/>
      <c r="AT71" s="1945"/>
      <c r="AU71" s="1945"/>
      <c r="AV71" s="1945"/>
      <c r="AX71" s="1937" t="s">
        <v>2727</v>
      </c>
      <c r="AY71" s="1941" t="s">
        <v>2561</v>
      </c>
      <c r="AZ71" s="1942" t="s">
        <v>2563</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2727</v>
      </c>
      <c r="BP71" s="1941" t="s">
        <v>2561</v>
      </c>
      <c r="BQ71" s="1942" t="s">
        <v>2563</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2561</v>
      </c>
      <c r="CI71" s="1942" t="s">
        <v>2563</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3481</v>
      </c>
      <c r="CY71" s="1941" t="s">
        <v>2561</v>
      </c>
      <c r="CZ71" s="1942" t="s">
        <v>2563</v>
      </c>
      <c r="DA71" s="2931">
        <v>0.25</v>
      </c>
      <c r="DB71" s="2695"/>
      <c r="DC71" s="2695"/>
      <c r="DD71" s="2695"/>
      <c r="DE71" s="2695"/>
      <c r="DF71" s="2695"/>
      <c r="DG71" s="2695"/>
      <c r="DH71" s="2778"/>
      <c r="DI71" s="2695"/>
      <c r="DJ71" s="2695"/>
      <c r="DK71" s="2905"/>
      <c r="DL71" s="2905"/>
      <c r="DM71" s="2905"/>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2728</v>
      </c>
      <c r="AH72" s="1941" t="s">
        <v>2561</v>
      </c>
      <c r="AI72" s="1942" t="s">
        <v>2564</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2728</v>
      </c>
      <c r="AY72" s="1941" t="s">
        <v>2561</v>
      </c>
      <c r="AZ72" s="1942" t="s">
        <v>2564</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2728</v>
      </c>
      <c r="BP72" s="1941" t="s">
        <v>2561</v>
      </c>
      <c r="BQ72" s="1942" t="s">
        <v>2564</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2561</v>
      </c>
      <c r="CI72" s="1942" t="s">
        <v>2564</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3482</v>
      </c>
      <c r="CY72" s="1941" t="s">
        <v>2561</v>
      </c>
      <c r="CZ72" s="1942" t="s">
        <v>2564</v>
      </c>
      <c r="DA72" s="2931">
        <v>0.25</v>
      </c>
      <c r="DB72" s="2695"/>
      <c r="DC72" s="2695"/>
      <c r="DD72" s="2695"/>
      <c r="DE72" s="2695"/>
      <c r="DF72" s="2695"/>
      <c r="DG72" s="2695"/>
      <c r="DH72" s="2778"/>
      <c r="DI72" s="2695"/>
      <c r="DJ72" s="2695"/>
      <c r="DK72" s="2905"/>
      <c r="DL72" s="2905"/>
      <c r="DM72" s="2905"/>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3483</v>
      </c>
      <c r="CY73" s="2928" t="s">
        <v>2561</v>
      </c>
      <c r="CZ73" s="2929" t="s">
        <v>3475</v>
      </c>
      <c r="DA73" s="2931">
        <v>0.2</v>
      </c>
      <c r="DB73" s="2695"/>
      <c r="DC73" s="2695"/>
      <c r="DD73" s="2695"/>
      <c r="DE73" s="2695"/>
      <c r="DF73" s="2695"/>
      <c r="DG73" s="2695"/>
      <c r="DH73" s="2778"/>
      <c r="DI73" s="2695"/>
      <c r="DJ73" s="2695"/>
      <c r="DK73" s="2905"/>
      <c r="DL73" s="2905"/>
      <c r="DM73" s="2905"/>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2556</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2556</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2556</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2556</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2556</v>
      </c>
      <c r="CZ74" s="1942" t="s">
        <v>1</v>
      </c>
      <c r="DA74" s="2924">
        <v>0.15</v>
      </c>
      <c r="DB74" s="2695"/>
      <c r="DC74" s="2695"/>
      <c r="DD74" s="2695"/>
      <c r="DE74" s="2695"/>
      <c r="DF74" s="2695"/>
      <c r="DG74" s="2695"/>
      <c r="DH74" s="2778"/>
      <c r="DI74" s="2695"/>
      <c r="DJ74" s="2695"/>
      <c r="DK74" s="2905"/>
      <c r="DL74" s="2905"/>
      <c r="DM74" s="2905"/>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2565</v>
      </c>
      <c r="AH75" s="1941" t="s">
        <v>2057</v>
      </c>
      <c r="AI75" s="648" t="s">
        <v>2058</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2565</v>
      </c>
      <c r="AY75" s="1941" t="s">
        <v>2057</v>
      </c>
      <c r="AZ75" s="1942" t="s">
        <v>2059</v>
      </c>
      <c r="BA75" s="1944">
        <v>0.5</v>
      </c>
      <c r="BB75" s="1944">
        <v>0.5</v>
      </c>
      <c r="BC75" s="1944">
        <v>0.5</v>
      </c>
      <c r="BD75" s="1944">
        <v>0.5</v>
      </c>
      <c r="BE75" s="1944">
        <v>0.5</v>
      </c>
      <c r="BF75" s="1944">
        <v>0.5</v>
      </c>
      <c r="BG75" s="1944">
        <v>0.5</v>
      </c>
      <c r="BH75" s="1951">
        <v>0.5</v>
      </c>
      <c r="BI75" s="1944">
        <v>0.5</v>
      </c>
      <c r="BJ75" s="1944">
        <v>0.5</v>
      </c>
      <c r="BK75" s="1945"/>
      <c r="BL75" s="1945"/>
      <c r="BM75" s="1945"/>
      <c r="BO75" s="1937" t="s">
        <v>2565</v>
      </c>
      <c r="BP75" s="1941" t="s">
        <v>2057</v>
      </c>
      <c r="BQ75" s="1942" t="s">
        <v>2059</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2565</v>
      </c>
      <c r="CH75" s="1941" t="s">
        <v>2057</v>
      </c>
      <c r="CI75" s="1942" t="s">
        <v>2059</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2565</v>
      </c>
      <c r="CY75" s="1941" t="s">
        <v>2057</v>
      </c>
      <c r="CZ75" s="1942" t="s">
        <v>2059</v>
      </c>
      <c r="DA75" s="2924">
        <v>1</v>
      </c>
      <c r="DB75" s="2695"/>
      <c r="DC75" s="2695"/>
      <c r="DD75" s="2695"/>
      <c r="DE75" s="2695"/>
      <c r="DF75" s="2695"/>
      <c r="DG75" s="2695"/>
      <c r="DH75" s="2778"/>
      <c r="DI75" s="2695"/>
      <c r="DJ75" s="2695"/>
      <c r="DK75" s="2905"/>
      <c r="DL75" s="2905"/>
      <c r="DM75" s="2905"/>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2060</v>
      </c>
      <c r="AH76" s="1941" t="s">
        <v>2057</v>
      </c>
      <c r="AI76" s="648" t="s">
        <v>2061</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2060</v>
      </c>
      <c r="AY76" s="1941" t="s">
        <v>2057</v>
      </c>
      <c r="AZ76" s="1942" t="s">
        <v>2062</v>
      </c>
      <c r="BA76" s="1944">
        <v>0.5</v>
      </c>
      <c r="BB76" s="1944">
        <v>0.5</v>
      </c>
      <c r="BC76" s="1944">
        <v>0.5</v>
      </c>
      <c r="BD76" s="1944">
        <v>0.5</v>
      </c>
      <c r="BE76" s="1944">
        <v>0.5</v>
      </c>
      <c r="BF76" s="1944">
        <v>0.5</v>
      </c>
      <c r="BG76" s="1944">
        <v>0.5</v>
      </c>
      <c r="BH76" s="1951">
        <v>0.5</v>
      </c>
      <c r="BI76" s="1944">
        <v>0.5</v>
      </c>
      <c r="BJ76" s="1944">
        <v>0.5</v>
      </c>
      <c r="BK76" s="1945"/>
      <c r="BL76" s="1945"/>
      <c r="BM76" s="1945"/>
      <c r="BO76" s="1937" t="s">
        <v>2060</v>
      </c>
      <c r="BP76" s="1941" t="s">
        <v>2057</v>
      </c>
      <c r="BQ76" s="1942" t="s">
        <v>2062</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2060</v>
      </c>
      <c r="CH76" s="1941" t="s">
        <v>2057</v>
      </c>
      <c r="CI76" s="1942" t="s">
        <v>2062</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2060</v>
      </c>
      <c r="CY76" s="1941" t="s">
        <v>2057</v>
      </c>
      <c r="CZ76" s="1942" t="s">
        <v>2062</v>
      </c>
      <c r="DA76" s="2924">
        <v>0</v>
      </c>
      <c r="DB76" s="2695"/>
      <c r="DC76" s="2695"/>
      <c r="DD76" s="2695"/>
      <c r="DE76" s="2695"/>
      <c r="DF76" s="2695"/>
      <c r="DG76" s="2695"/>
      <c r="DH76" s="2778"/>
      <c r="DI76" s="2695"/>
      <c r="DJ76" s="2695"/>
      <c r="DK76" s="2905"/>
      <c r="DL76" s="2905"/>
      <c r="DM76" s="2905"/>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2063</v>
      </c>
      <c r="AH77" s="1941" t="s">
        <v>2729</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2730</v>
      </c>
      <c r="AZ77" s="1942"/>
      <c r="BA77" s="1944"/>
      <c r="BB77" s="1944"/>
      <c r="BC77" s="1944"/>
      <c r="BD77" s="1944"/>
      <c r="BE77" s="1944"/>
      <c r="BF77" s="1944"/>
      <c r="BG77" s="1944"/>
      <c r="BH77" s="1983"/>
      <c r="BI77" s="1944"/>
      <c r="BJ77" s="1944"/>
      <c r="BK77" s="1945"/>
      <c r="BL77" s="1945"/>
      <c r="BM77" s="1945"/>
      <c r="BO77" s="1937">
        <v>0</v>
      </c>
      <c r="BP77" s="1941" t="s">
        <v>2730</v>
      </c>
      <c r="BQ77" s="1942"/>
      <c r="BR77" s="1944"/>
      <c r="BS77" s="1944"/>
      <c r="BT77" s="1944"/>
      <c r="BU77" s="1944"/>
      <c r="BV77" s="1944"/>
      <c r="BW77" s="1944"/>
      <c r="BX77" s="1944"/>
      <c r="BY77" s="1983"/>
      <c r="BZ77" s="1944"/>
      <c r="CA77" s="1944"/>
      <c r="CB77" s="1945"/>
      <c r="CC77" s="1945"/>
      <c r="CD77" s="1945"/>
      <c r="CE77" s="2272"/>
      <c r="CG77" s="1937">
        <v>0</v>
      </c>
      <c r="CH77" s="1941" t="s">
        <v>2730</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2730</v>
      </c>
      <c r="CZ77" s="1942"/>
      <c r="DA77" s="2695">
        <f t="shared" ref="DA77:DA139" si="115">BR77</f>
        <v>0</v>
      </c>
      <c r="DB77" s="2695"/>
      <c r="DC77" s="2695"/>
      <c r="DD77" s="2695"/>
      <c r="DE77" s="2695"/>
      <c r="DF77" s="2695"/>
      <c r="DG77" s="2695"/>
      <c r="DH77" s="2913"/>
      <c r="DI77" s="2695"/>
      <c r="DJ77" s="2695"/>
      <c r="DK77" s="2905"/>
      <c r="DL77" s="2905"/>
      <c r="DM77" s="2905"/>
    </row>
    <row r="78" spans="2:117">
      <c r="B78" s="1916">
        <f t="shared" ref="B78:B109" si="116">P78</f>
        <v>2</v>
      </c>
      <c r="C78" s="1928" t="str">
        <f t="shared" si="93"/>
        <v>耐用性・信頼性</v>
      </c>
      <c r="D78" s="1924">
        <f>IF(I$62=0,0,G78/I$62)</f>
        <v>0.3</v>
      </c>
      <c r="E78" s="1925">
        <f>IF(J$62=0,0,H78/J$62)</f>
        <v>0</v>
      </c>
      <c r="G78" s="1925">
        <f t="shared" si="98"/>
        <v>0.3</v>
      </c>
      <c r="H78" s="1925">
        <f t="shared" si="99"/>
        <v>0</v>
      </c>
      <c r="I78" s="1925">
        <f>G79+G82++G89+G93</f>
        <v>1</v>
      </c>
      <c r="J78" s="1925">
        <f>H79+H82++H89+H93</f>
        <v>0</v>
      </c>
      <c r="K78" s="1925">
        <f>IF(スコア!O78=0,0,1)</f>
        <v>1</v>
      </c>
      <c r="L78" s="1925">
        <f>IF(スコア!R78=0,0,1)</f>
        <v>0</v>
      </c>
      <c r="M78" s="1925">
        <f t="shared" si="100"/>
        <v>0.3</v>
      </c>
      <c r="N78" s="1925">
        <f t="shared" si="101"/>
        <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2554</v>
      </c>
      <c r="AI78" s="1953" t="s">
        <v>2064</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2554</v>
      </c>
      <c r="AZ78" s="1953" t="s">
        <v>2041</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2554</v>
      </c>
      <c r="BQ78" s="1953" t="s">
        <v>2064</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2554</v>
      </c>
      <c r="CI78" s="1953" t="s">
        <v>2064</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2554</v>
      </c>
      <c r="CZ78" s="1953" t="s">
        <v>2064</v>
      </c>
      <c r="DA78" s="2932">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0.5</v>
      </c>
      <c r="E79" s="1936">
        <f>IF(J$78=0,0,H79/J$78)</f>
        <v>0</v>
      </c>
      <c r="G79" s="1936">
        <f t="shared" si="98"/>
        <v>0.5</v>
      </c>
      <c r="H79" s="1936">
        <f t="shared" si="99"/>
        <v>0</v>
      </c>
      <c r="I79" s="1936">
        <f>SUM(G80:G81)</f>
        <v>1</v>
      </c>
      <c r="J79" s="1936">
        <f>SUM(H80:H81)</f>
        <v>0</v>
      </c>
      <c r="K79" s="1936">
        <f>IF(スコア!O79=0,0,1)</f>
        <v>1</v>
      </c>
      <c r="L79" s="1936">
        <f>IF(スコア!R79=0,0,1)</f>
        <v>0</v>
      </c>
      <c r="M79" s="1936">
        <f t="shared" si="100"/>
        <v>0.5</v>
      </c>
      <c r="N79" s="1936">
        <f t="shared" si="101"/>
        <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2065</v>
      </c>
      <c r="AI79" s="1938" t="s">
        <v>2215</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2065</v>
      </c>
      <c r="AZ79" s="1938" t="s">
        <v>2042</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2065</v>
      </c>
      <c r="BQ79" s="1938" t="s">
        <v>3377</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2065</v>
      </c>
      <c r="CI79" s="1938" t="s">
        <v>3377</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2065</v>
      </c>
      <c r="CZ79" s="1938" t="s">
        <v>3377</v>
      </c>
      <c r="DA79" s="2924">
        <v>0.4</v>
      </c>
      <c r="DB79" s="2695"/>
      <c r="DC79" s="2695"/>
      <c r="DD79" s="2695"/>
      <c r="DE79" s="2695"/>
      <c r="DF79" s="2695"/>
      <c r="DG79" s="2695"/>
      <c r="DH79" s="2695"/>
      <c r="DI79" s="2695"/>
      <c r="DJ79" s="2695"/>
      <c r="DK79" s="2905"/>
      <c r="DL79" s="2695"/>
      <c r="DM79" s="2695"/>
    </row>
    <row r="80" spans="2:117">
      <c r="B80" s="1916" t="str">
        <f t="shared" si="116"/>
        <v>2.1.1</v>
      </c>
      <c r="C80" s="1938" t="str">
        <f t="shared" si="93"/>
        <v>耐震性</v>
      </c>
      <c r="D80" s="1926">
        <f>IF(I$79&gt;0,G80/I$79,0)</f>
        <v>0.8</v>
      </c>
      <c r="E80" s="1936">
        <f>IF(J$79&gt;0,H80/J$79,0)</f>
        <v>0</v>
      </c>
      <c r="G80" s="1936">
        <f t="shared" si="98"/>
        <v>0.8</v>
      </c>
      <c r="H80" s="1936">
        <f t="shared" si="99"/>
        <v>0</v>
      </c>
      <c r="I80" s="1936"/>
      <c r="J80" s="1936"/>
      <c r="K80" s="1936">
        <f>IF(スコア!O80=0,0,1)</f>
        <v>1</v>
      </c>
      <c r="L80" s="1936">
        <f>IF(スコア!R80=0,0,1)</f>
        <v>0</v>
      </c>
      <c r="M80" s="1936">
        <f t="shared" si="100"/>
        <v>0.8</v>
      </c>
      <c r="N80" s="1936">
        <f t="shared" si="101"/>
        <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2731</v>
      </c>
      <c r="AH80" s="1941" t="s">
        <v>2066</v>
      </c>
      <c r="AI80" s="1942" t="s">
        <v>2067</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2731</v>
      </c>
      <c r="AY80" s="1941" t="s">
        <v>2066</v>
      </c>
      <c r="AZ80" s="1942" t="s">
        <v>2067</v>
      </c>
      <c r="BA80" s="1944">
        <v>0.8</v>
      </c>
      <c r="BB80" s="1944">
        <v>0.8</v>
      </c>
      <c r="BC80" s="1944">
        <v>0.8</v>
      </c>
      <c r="BD80" s="1944">
        <v>0.8</v>
      </c>
      <c r="BE80" s="1944">
        <v>0.8</v>
      </c>
      <c r="BF80" s="1944">
        <v>0.8</v>
      </c>
      <c r="BG80" s="1944">
        <v>0.8</v>
      </c>
      <c r="BH80" s="1951">
        <v>0.8</v>
      </c>
      <c r="BI80" s="1944">
        <v>0.8</v>
      </c>
      <c r="BJ80" s="1944">
        <v>0.8</v>
      </c>
      <c r="BK80" s="1945"/>
      <c r="BL80" s="1944"/>
      <c r="BM80" s="1944"/>
      <c r="BO80" s="1937" t="s">
        <v>2731</v>
      </c>
      <c r="BP80" s="1941" t="s">
        <v>2066</v>
      </c>
      <c r="BQ80" s="1942" t="s">
        <v>2067</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2066</v>
      </c>
      <c r="CI80" s="1942" t="s">
        <v>2067</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2066</v>
      </c>
      <c r="CZ80" s="1942" t="s">
        <v>2067</v>
      </c>
      <c r="DA80" s="2695">
        <f t="shared" si="115"/>
        <v>0.8</v>
      </c>
      <c r="DB80" s="2695"/>
      <c r="DC80" s="2695"/>
      <c r="DD80" s="2695"/>
      <c r="DE80" s="2695"/>
      <c r="DF80" s="2695"/>
      <c r="DG80" s="2695"/>
      <c r="DH80" s="2695"/>
      <c r="DI80" s="2695"/>
      <c r="DJ80" s="2695"/>
      <c r="DK80" s="2905"/>
      <c r="DL80" s="2695"/>
      <c r="DM80" s="2695"/>
    </row>
    <row r="81" spans="2:117">
      <c r="B81" s="1916" t="str">
        <f t="shared" si="116"/>
        <v>2.1.2</v>
      </c>
      <c r="C81" s="1938" t="str">
        <f t="shared" si="93"/>
        <v>免震・制震・制振性能</v>
      </c>
      <c r="D81" s="1926">
        <f>IF(I$79&gt;0,G81/I$79,0)</f>
        <v>0.2</v>
      </c>
      <c r="E81" s="1936">
        <f>IF(J$79&gt;0,H81/J$79,0)</f>
        <v>0</v>
      </c>
      <c r="G81" s="1936">
        <f t="shared" si="98"/>
        <v>0.2</v>
      </c>
      <c r="H81" s="1936">
        <f t="shared" si="99"/>
        <v>0</v>
      </c>
      <c r="I81" s="1936"/>
      <c r="J81" s="1936"/>
      <c r="K81" s="1936">
        <f>IF(スコア!O81=0,0,1)</f>
        <v>1</v>
      </c>
      <c r="L81" s="1936">
        <f>IF(スコア!R81=0,0,1)</f>
        <v>0</v>
      </c>
      <c r="M81" s="1936">
        <f t="shared" si="100"/>
        <v>0.2</v>
      </c>
      <c r="N81" s="1936">
        <f t="shared" si="101"/>
        <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2732</v>
      </c>
      <c r="AH81" s="1941" t="s">
        <v>2066</v>
      </c>
      <c r="AI81" s="1942" t="s">
        <v>2068</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2733</v>
      </c>
      <c r="AY81" s="1941" t="s">
        <v>2066</v>
      </c>
      <c r="AZ81" s="1942" t="s">
        <v>2043</v>
      </c>
      <c r="BA81" s="1944">
        <v>0.2</v>
      </c>
      <c r="BB81" s="1944">
        <v>0.2</v>
      </c>
      <c r="BC81" s="1944">
        <v>0.2</v>
      </c>
      <c r="BD81" s="1944">
        <v>0.2</v>
      </c>
      <c r="BE81" s="1944">
        <v>0.2</v>
      </c>
      <c r="BF81" s="1944">
        <v>0.2</v>
      </c>
      <c r="BG81" s="1944">
        <v>0.2</v>
      </c>
      <c r="BH81" s="1951">
        <v>0.2</v>
      </c>
      <c r="BI81" s="1944">
        <v>0.2</v>
      </c>
      <c r="BJ81" s="1944">
        <v>0.2</v>
      </c>
      <c r="BK81" s="1945"/>
      <c r="BL81" s="1944"/>
      <c r="BM81" s="1944"/>
      <c r="BO81" s="1937" t="s">
        <v>2733</v>
      </c>
      <c r="BP81" s="1941" t="s">
        <v>2066</v>
      </c>
      <c r="BQ81" s="1942" t="s">
        <v>3378</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2732</v>
      </c>
      <c r="CH81" s="1941" t="s">
        <v>2066</v>
      </c>
      <c r="CI81" s="1942" t="s">
        <v>3378</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2732</v>
      </c>
      <c r="CY81" s="1941" t="s">
        <v>2066</v>
      </c>
      <c r="CZ81" s="1942" t="s">
        <v>3378</v>
      </c>
      <c r="DA81" s="2695">
        <f t="shared" si="115"/>
        <v>0.2</v>
      </c>
      <c r="DB81" s="2695"/>
      <c r="DC81" s="2695"/>
      <c r="DD81" s="2695"/>
      <c r="DE81" s="2695"/>
      <c r="DF81" s="2695"/>
      <c r="DG81" s="2695"/>
      <c r="DH81" s="2695"/>
      <c r="DI81" s="2695"/>
      <c r="DJ81" s="2695"/>
      <c r="DK81" s="2905"/>
      <c r="DL81" s="2695"/>
      <c r="DM81" s="2695"/>
    </row>
    <row r="82" spans="2:117">
      <c r="B82" s="1916">
        <f t="shared" si="116"/>
        <v>2.2000000000000002</v>
      </c>
      <c r="C82" s="1938" t="str">
        <f t="shared" si="93"/>
        <v>部品・部材の耐用年数</v>
      </c>
      <c r="D82" s="1935">
        <f>IF(I$78=0,0,G82/I$78)</f>
        <v>0.3</v>
      </c>
      <c r="E82" s="1936">
        <f>IF(J$78=0,0,H82/J$78)</f>
        <v>0</v>
      </c>
      <c r="G82" s="1936">
        <f t="shared" si="98"/>
        <v>0.3</v>
      </c>
      <c r="H82" s="1936">
        <f t="shared" si="99"/>
        <v>0</v>
      </c>
      <c r="I82" s="1936">
        <f>SUM(G83:G88)</f>
        <v>1</v>
      </c>
      <c r="J82" s="1936">
        <f>SUM(H83:H88)</f>
        <v>0</v>
      </c>
      <c r="K82" s="1936">
        <f>IF(スコア!O82=0,0,1)</f>
        <v>1</v>
      </c>
      <c r="L82" s="1936">
        <f>IF(スコア!R82=0,0,1)</f>
        <v>0</v>
      </c>
      <c r="M82" s="1936">
        <f t="shared" si="100"/>
        <v>0.3</v>
      </c>
      <c r="N82" s="1936">
        <f t="shared" si="101"/>
        <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2065</v>
      </c>
      <c r="AI82" s="1938" t="s">
        <v>2216</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2065</v>
      </c>
      <c r="AZ82" s="1938" t="s">
        <v>2044</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2065</v>
      </c>
      <c r="BQ82" s="1938" t="s">
        <v>2216</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2065</v>
      </c>
      <c r="CI82" s="1938" t="s">
        <v>2216</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2065</v>
      </c>
      <c r="CZ82" s="1938" t="s">
        <v>2216</v>
      </c>
      <c r="DA82" s="2924">
        <v>0</v>
      </c>
      <c r="DB82" s="2695"/>
      <c r="DC82" s="2695"/>
      <c r="DD82" s="2695"/>
      <c r="DE82" s="2695"/>
      <c r="DF82" s="2695"/>
      <c r="DG82" s="2695"/>
      <c r="DH82" s="2695"/>
      <c r="DI82" s="2695"/>
      <c r="DJ82" s="2695"/>
      <c r="DK82" s="2905"/>
      <c r="DL82" s="2695"/>
      <c r="DM82" s="2695"/>
    </row>
    <row r="83" spans="2:117">
      <c r="B83" s="1916" t="str">
        <f t="shared" si="116"/>
        <v>2.2.1</v>
      </c>
      <c r="C83" s="1938" t="str">
        <f t="shared" si="93"/>
        <v>躯体材料の耐用年数</v>
      </c>
      <c r="D83" s="1926">
        <f t="shared" ref="D83:E88" si="117">IF(I$82&gt;0,G83/I$82,0)</f>
        <v>0.2</v>
      </c>
      <c r="E83" s="1936">
        <f t="shared" si="117"/>
        <v>0</v>
      </c>
      <c r="G83" s="1936">
        <f t="shared" si="98"/>
        <v>0.2</v>
      </c>
      <c r="H83" s="1936">
        <f t="shared" si="99"/>
        <v>0</v>
      </c>
      <c r="I83" s="1936"/>
      <c r="J83" s="1936"/>
      <c r="K83" s="1936">
        <f>IF(スコア!O83=0,0,1)</f>
        <v>1</v>
      </c>
      <c r="L83" s="1936">
        <f>IF(スコア!R83=0,0,1)</f>
        <v>0</v>
      </c>
      <c r="M83" s="1936">
        <f t="shared" si="100"/>
        <v>0.2</v>
      </c>
      <c r="N83" s="1936">
        <f t="shared" si="101"/>
        <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2734</v>
      </c>
      <c r="AH83" s="1941" t="s">
        <v>2069</v>
      </c>
      <c r="AI83" s="1942" t="s">
        <v>786</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2735</v>
      </c>
      <c r="AY83" s="1941" t="s">
        <v>2069</v>
      </c>
      <c r="AZ83" s="1942" t="s">
        <v>2045</v>
      </c>
      <c r="BA83" s="1944">
        <v>0.2</v>
      </c>
      <c r="BB83" s="1944">
        <v>0.2</v>
      </c>
      <c r="BC83" s="1944">
        <v>0.2</v>
      </c>
      <c r="BD83" s="1944">
        <v>0.2</v>
      </c>
      <c r="BE83" s="1944">
        <v>0.2</v>
      </c>
      <c r="BF83" s="1944">
        <v>0.2</v>
      </c>
      <c r="BG83" s="1944">
        <v>0.2</v>
      </c>
      <c r="BH83" s="1944">
        <v>0.2</v>
      </c>
      <c r="BI83" s="1944">
        <v>0.2</v>
      </c>
      <c r="BJ83" s="1944">
        <v>0.2</v>
      </c>
      <c r="BK83" s="1945"/>
      <c r="BL83" s="1944"/>
      <c r="BM83" s="1944"/>
      <c r="BO83" s="1937" t="s">
        <v>2735</v>
      </c>
      <c r="BP83" s="1941" t="s">
        <v>2069</v>
      </c>
      <c r="BQ83" s="1942" t="s">
        <v>786</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2734</v>
      </c>
      <c r="CH83" s="1941" t="s">
        <v>2069</v>
      </c>
      <c r="CI83" s="1942" t="s">
        <v>786</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2734</v>
      </c>
      <c r="CY83" s="1941" t="s">
        <v>2069</v>
      </c>
      <c r="CZ83" s="1942" t="s">
        <v>786</v>
      </c>
      <c r="DA83" s="2924">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0.2</v>
      </c>
      <c r="E84" s="1936">
        <f t="shared" si="117"/>
        <v>0</v>
      </c>
      <c r="G84" s="1936">
        <f t="shared" si="98"/>
        <v>0.2</v>
      </c>
      <c r="H84" s="1936">
        <f t="shared" si="99"/>
        <v>0</v>
      </c>
      <c r="I84" s="1936"/>
      <c r="J84" s="1936"/>
      <c r="K84" s="1936">
        <f>IF(スコア!O84=0,0,1)</f>
        <v>1</v>
      </c>
      <c r="L84" s="1936">
        <f>IF(スコア!R84=0,0,1)</f>
        <v>0</v>
      </c>
      <c r="M84" s="1936">
        <f t="shared" si="100"/>
        <v>0.2</v>
      </c>
      <c r="N84" s="1936">
        <f t="shared" si="101"/>
        <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2736</v>
      </c>
      <c r="AH84" s="1941" t="s">
        <v>2069</v>
      </c>
      <c r="AI84" s="1942" t="s">
        <v>2070</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2736</v>
      </c>
      <c r="AY84" s="1941" t="s">
        <v>2069</v>
      </c>
      <c r="AZ84" s="1942" t="s">
        <v>2070</v>
      </c>
      <c r="BA84" s="1944">
        <v>0.2</v>
      </c>
      <c r="BB84" s="1944">
        <v>0.2</v>
      </c>
      <c r="BC84" s="1944">
        <v>0.2</v>
      </c>
      <c r="BD84" s="1944">
        <v>0.2</v>
      </c>
      <c r="BE84" s="1944">
        <v>0.2</v>
      </c>
      <c r="BF84" s="1944">
        <v>0.2</v>
      </c>
      <c r="BG84" s="1944">
        <v>0.2</v>
      </c>
      <c r="BH84" s="1944">
        <v>0.2</v>
      </c>
      <c r="BI84" s="1944">
        <v>0.2</v>
      </c>
      <c r="BJ84" s="1944">
        <v>0.2</v>
      </c>
      <c r="BK84" s="1945"/>
      <c r="BL84" s="1944"/>
      <c r="BM84" s="1944"/>
      <c r="BO84" s="1937" t="s">
        <v>2736</v>
      </c>
      <c r="BP84" s="1941" t="s">
        <v>2069</v>
      </c>
      <c r="BQ84" s="1942" t="s">
        <v>2070</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2736</v>
      </c>
      <c r="CH84" s="1941" t="s">
        <v>2069</v>
      </c>
      <c r="CI84" s="1942" t="s">
        <v>2070</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2736</v>
      </c>
      <c r="CY84" s="1941" t="s">
        <v>2069</v>
      </c>
      <c r="CZ84" s="1942" t="s">
        <v>2070</v>
      </c>
      <c r="DA84" s="2924">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0.1</v>
      </c>
      <c r="E85" s="1936">
        <f t="shared" si="117"/>
        <v>0</v>
      </c>
      <c r="G85" s="1936">
        <f t="shared" si="98"/>
        <v>0.1</v>
      </c>
      <c r="H85" s="1936">
        <f t="shared" si="99"/>
        <v>0</v>
      </c>
      <c r="I85" s="1936"/>
      <c r="J85" s="1936"/>
      <c r="K85" s="1936">
        <f>IF(スコア!O85=0,0,1)</f>
        <v>1</v>
      </c>
      <c r="L85" s="1936">
        <f>IF(スコア!R85=0,0,1)</f>
        <v>0</v>
      </c>
      <c r="M85" s="1936">
        <f t="shared" si="100"/>
        <v>0.1</v>
      </c>
      <c r="N85" s="1936">
        <f t="shared" si="101"/>
        <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2737</v>
      </c>
      <c r="AH85" s="1941" t="s">
        <v>2069</v>
      </c>
      <c r="AI85" s="1942" t="s">
        <v>2071</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2737</v>
      </c>
      <c r="AY85" s="1941" t="s">
        <v>2069</v>
      </c>
      <c r="AZ85" s="1942" t="s">
        <v>2071</v>
      </c>
      <c r="BA85" s="1944">
        <v>0.1</v>
      </c>
      <c r="BB85" s="1944">
        <v>0.1</v>
      </c>
      <c r="BC85" s="1944">
        <v>0.1</v>
      </c>
      <c r="BD85" s="1944">
        <v>0.1</v>
      </c>
      <c r="BE85" s="1944">
        <v>0.1</v>
      </c>
      <c r="BF85" s="1944">
        <v>0.1</v>
      </c>
      <c r="BG85" s="1944">
        <v>0.1</v>
      </c>
      <c r="BH85" s="1944">
        <v>0.1</v>
      </c>
      <c r="BI85" s="1944">
        <v>0.1</v>
      </c>
      <c r="BJ85" s="1944">
        <v>0.1</v>
      </c>
      <c r="BK85" s="1945"/>
      <c r="BL85" s="1944"/>
      <c r="BM85" s="1944"/>
      <c r="BO85" s="1937" t="s">
        <v>2737</v>
      </c>
      <c r="BP85" s="1941" t="s">
        <v>2069</v>
      </c>
      <c r="BQ85" s="1942" t="s">
        <v>2071</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2737</v>
      </c>
      <c r="CH85" s="1941" t="s">
        <v>2069</v>
      </c>
      <c r="CI85" s="1942" t="s">
        <v>2071</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2737</v>
      </c>
      <c r="CY85" s="1941" t="s">
        <v>2069</v>
      </c>
      <c r="CZ85" s="1942" t="s">
        <v>2071</v>
      </c>
      <c r="DA85" s="2924">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0.1</v>
      </c>
      <c r="E86" s="1936">
        <f t="shared" si="117"/>
        <v>0</v>
      </c>
      <c r="G86" s="1936">
        <f t="shared" si="98"/>
        <v>0.1</v>
      </c>
      <c r="H86" s="1936">
        <f t="shared" si="99"/>
        <v>0</v>
      </c>
      <c r="I86" s="1936"/>
      <c r="J86" s="1936"/>
      <c r="K86" s="1936">
        <f>IF(スコア!O86=0,0,1)</f>
        <v>1</v>
      </c>
      <c r="L86" s="1936">
        <f>IF(スコア!R86=0,0,1)</f>
        <v>0</v>
      </c>
      <c r="M86" s="1936">
        <f t="shared" si="100"/>
        <v>0.1</v>
      </c>
      <c r="N86" s="1936">
        <f t="shared" si="101"/>
        <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2738</v>
      </c>
      <c r="AH86" s="1941" t="s">
        <v>2069</v>
      </c>
      <c r="AI86" s="1942" t="s">
        <v>2072</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2739</v>
      </c>
      <c r="AY86" s="1941" t="s">
        <v>2069</v>
      </c>
      <c r="AZ86" s="1942" t="s">
        <v>2046</v>
      </c>
      <c r="BA86" s="1944">
        <v>0.1</v>
      </c>
      <c r="BB86" s="1944">
        <v>0.1</v>
      </c>
      <c r="BC86" s="1944">
        <v>0.1</v>
      </c>
      <c r="BD86" s="1944">
        <v>0.1</v>
      </c>
      <c r="BE86" s="1944">
        <v>0.1</v>
      </c>
      <c r="BF86" s="1944">
        <v>0.1</v>
      </c>
      <c r="BG86" s="1944">
        <v>0.1</v>
      </c>
      <c r="BH86" s="1944">
        <v>0.1</v>
      </c>
      <c r="BI86" s="1944">
        <v>0.1</v>
      </c>
      <c r="BJ86" s="1944">
        <v>0.1</v>
      </c>
      <c r="BK86" s="1945"/>
      <c r="BL86" s="1944"/>
      <c r="BM86" s="1944"/>
      <c r="BO86" s="1937" t="s">
        <v>2739</v>
      </c>
      <c r="BP86" s="1941" t="s">
        <v>2069</v>
      </c>
      <c r="BQ86" s="1942" t="s">
        <v>2072</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2738</v>
      </c>
      <c r="CH86" s="1941" t="s">
        <v>2069</v>
      </c>
      <c r="CI86" s="1942" t="s">
        <v>2072</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2738</v>
      </c>
      <c r="CY86" s="1941" t="s">
        <v>2069</v>
      </c>
      <c r="CZ86" s="1942" t="s">
        <v>2072</v>
      </c>
      <c r="DA86" s="2924">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0.2</v>
      </c>
      <c r="E87" s="1936">
        <f t="shared" si="117"/>
        <v>0</v>
      </c>
      <c r="G87" s="1936">
        <f t="shared" si="98"/>
        <v>0.2</v>
      </c>
      <c r="H87" s="1936">
        <f t="shared" si="99"/>
        <v>0</v>
      </c>
      <c r="I87" s="1936"/>
      <c r="J87" s="1936"/>
      <c r="K87" s="1936">
        <f>IF(スコア!O88=0,0,1)</f>
        <v>1</v>
      </c>
      <c r="L87" s="1936">
        <f>IF(スコア!R88=0,0,1)</f>
        <v>0</v>
      </c>
      <c r="M87" s="1936">
        <f t="shared" si="100"/>
        <v>0.2</v>
      </c>
      <c r="N87" s="1936">
        <f t="shared" si="101"/>
        <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2740</v>
      </c>
      <c r="AH87" s="1941" t="s">
        <v>2069</v>
      </c>
      <c r="AI87" s="1942" t="s">
        <v>2073</v>
      </c>
      <c r="AJ87" s="1940">
        <v>0.1</v>
      </c>
      <c r="AK87" s="1940">
        <v>0.1</v>
      </c>
      <c r="AL87" s="1940">
        <v>0.1</v>
      </c>
      <c r="AM87" s="1940">
        <v>0.1</v>
      </c>
      <c r="AN87" s="1940">
        <v>0.1</v>
      </c>
      <c r="AO87" s="1940">
        <v>0.1</v>
      </c>
      <c r="AP87" s="1940">
        <v>0.1</v>
      </c>
      <c r="AQ87" s="1940">
        <v>0.1</v>
      </c>
      <c r="AR87" s="1940">
        <v>0.1</v>
      </c>
      <c r="AS87" s="1944">
        <v>0.1</v>
      </c>
      <c r="AT87" s="1945"/>
      <c r="AU87" s="1944"/>
      <c r="AV87" s="1944"/>
      <c r="AX87" s="1937" t="s">
        <v>2741</v>
      </c>
      <c r="AY87" s="1941" t="s">
        <v>2069</v>
      </c>
      <c r="AZ87" s="1942" t="s">
        <v>2047</v>
      </c>
      <c r="BA87" s="1944">
        <v>0.2</v>
      </c>
      <c r="BB87" s="1944">
        <v>0.2</v>
      </c>
      <c r="BC87" s="1944">
        <v>0.2</v>
      </c>
      <c r="BD87" s="1944">
        <v>0.2</v>
      </c>
      <c r="BE87" s="1944">
        <v>0.2</v>
      </c>
      <c r="BF87" s="1944">
        <v>0.2</v>
      </c>
      <c r="BG87" s="1944">
        <v>0.2</v>
      </c>
      <c r="BH87" s="1944">
        <v>0.2</v>
      </c>
      <c r="BI87" s="1944">
        <v>0.2</v>
      </c>
      <c r="BJ87" s="1944">
        <v>0.2</v>
      </c>
      <c r="BK87" s="1945"/>
      <c r="BL87" s="1944"/>
      <c r="BM87" s="1944"/>
      <c r="BO87" s="1937" t="s">
        <v>2741</v>
      </c>
      <c r="BP87" s="1941" t="s">
        <v>2069</v>
      </c>
      <c r="BQ87" s="1942" t="s">
        <v>2073</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2740</v>
      </c>
      <c r="CH87" s="1941" t="s">
        <v>2069</v>
      </c>
      <c r="CI87" s="1942" t="s">
        <v>2073</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2740</v>
      </c>
      <c r="CY87" s="1941" t="s">
        <v>2069</v>
      </c>
      <c r="CZ87" s="1942" t="s">
        <v>2073</v>
      </c>
      <c r="DA87" s="2924">
        <v>0</v>
      </c>
      <c r="DB87" s="2695"/>
      <c r="DC87" s="2695"/>
      <c r="DD87" s="2695"/>
      <c r="DE87" s="2695"/>
      <c r="DF87" s="2695"/>
      <c r="DG87" s="2695"/>
      <c r="DH87" s="2695"/>
      <c r="DI87" s="2695"/>
      <c r="DJ87" s="2695"/>
      <c r="DK87" s="2695"/>
      <c r="DL87" s="2695"/>
      <c r="DM87" s="2695"/>
    </row>
    <row r="88" spans="2:117">
      <c r="B88" s="1916" t="str">
        <f t="shared" si="116"/>
        <v>2.2.6</v>
      </c>
      <c r="C88" s="3000" t="str">
        <f t="shared" si="93"/>
        <v>主要設備機器の更新必要間隔</v>
      </c>
      <c r="D88" s="1926">
        <f t="shared" si="117"/>
        <v>0.2</v>
      </c>
      <c r="E88" s="1936">
        <f t="shared" si="117"/>
        <v>0</v>
      </c>
      <c r="G88" s="1936">
        <f t="shared" si="98"/>
        <v>0.2</v>
      </c>
      <c r="H88" s="1936">
        <f t="shared" si="99"/>
        <v>0</v>
      </c>
      <c r="I88" s="1936"/>
      <c r="J88" s="1936"/>
      <c r="K88" s="1936">
        <f>IF(スコア!O88=0,0,1)</f>
        <v>1</v>
      </c>
      <c r="L88" s="1936">
        <f>IF(スコア!R88=0,0,1)</f>
        <v>0</v>
      </c>
      <c r="M88" s="1936">
        <f t="shared" si="100"/>
        <v>0.2</v>
      </c>
      <c r="N88" s="1936">
        <f t="shared" si="101"/>
        <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2742</v>
      </c>
      <c r="AH88" s="1941" t="s">
        <v>2069</v>
      </c>
      <c r="AI88" s="1942" t="s">
        <v>2074</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2742</v>
      </c>
      <c r="AY88" s="1941" t="s">
        <v>2069</v>
      </c>
      <c r="AZ88" s="1942" t="s">
        <v>2074</v>
      </c>
      <c r="BA88" s="1944">
        <v>0.2</v>
      </c>
      <c r="BB88" s="1944">
        <v>0.2</v>
      </c>
      <c r="BC88" s="1944">
        <v>0.2</v>
      </c>
      <c r="BD88" s="1944">
        <v>0.2</v>
      </c>
      <c r="BE88" s="1944">
        <v>0.2</v>
      </c>
      <c r="BF88" s="1944">
        <v>0.2</v>
      </c>
      <c r="BG88" s="1944">
        <v>0.2</v>
      </c>
      <c r="BH88" s="1944">
        <v>0.2</v>
      </c>
      <c r="BI88" s="1944">
        <v>0.2</v>
      </c>
      <c r="BJ88" s="1944">
        <v>0.2</v>
      </c>
      <c r="BK88" s="1945"/>
      <c r="BL88" s="1944"/>
      <c r="BM88" s="1944"/>
      <c r="BO88" s="1937" t="s">
        <v>2742</v>
      </c>
      <c r="BP88" s="1941" t="s">
        <v>2069</v>
      </c>
      <c r="BQ88" s="1942" t="s">
        <v>2074</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2742</v>
      </c>
      <c r="CH88" s="1941" t="s">
        <v>2069</v>
      </c>
      <c r="CI88" s="1942" t="s">
        <v>2074</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2742</v>
      </c>
      <c r="CY88" s="1941" t="s">
        <v>2069</v>
      </c>
      <c r="CZ88" s="1942" t="s">
        <v>2074</v>
      </c>
      <c r="DA88" s="2924">
        <v>0</v>
      </c>
      <c r="DB88" s="2695"/>
      <c r="DC88" s="2695"/>
      <c r="DD88" s="2695"/>
      <c r="DE88" s="2695"/>
      <c r="DF88" s="2695"/>
      <c r="DG88" s="2695"/>
      <c r="DH88" s="2695"/>
      <c r="DI88" s="2695"/>
      <c r="DJ88" s="2695"/>
      <c r="DK88" s="2695"/>
      <c r="DL88" s="2695"/>
      <c r="DM88" s="2695"/>
    </row>
    <row r="89" spans="2:117">
      <c r="B89" s="1916">
        <f t="shared" si="116"/>
        <v>2.2999999999999998</v>
      </c>
      <c r="C89" s="3000"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2743</v>
      </c>
      <c r="AI89" s="1941" t="s">
        <v>792</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2065</v>
      </c>
      <c r="AZ89" s="1965" t="s">
        <v>2048</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2065</v>
      </c>
      <c r="BQ89" s="1965" t="s">
        <v>792</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2065</v>
      </c>
      <c r="CI89" s="1965" t="s">
        <v>792</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2065</v>
      </c>
      <c r="CZ89" s="1965" t="s">
        <v>792</v>
      </c>
      <c r="DA89" s="2909">
        <f t="shared" si="115"/>
        <v>0</v>
      </c>
      <c r="DB89" s="2909"/>
      <c r="DC89" s="2909"/>
      <c r="DD89" s="2909"/>
      <c r="DE89" s="2909"/>
      <c r="DF89" s="2909"/>
      <c r="DG89" s="2909"/>
      <c r="DH89" s="2909"/>
      <c r="DI89" s="2909"/>
      <c r="DJ89" s="2909"/>
      <c r="DK89" s="2909"/>
      <c r="DL89" s="2909"/>
      <c r="DM89" s="2909"/>
    </row>
    <row r="90" spans="2:117" hidden="1">
      <c r="B90" s="1916" t="str">
        <f t="shared" si="116"/>
        <v>2.3.1</v>
      </c>
      <c r="C90" s="3000">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2744</v>
      </c>
      <c r="AH90" s="1937" t="s">
        <v>2745</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2746</v>
      </c>
      <c r="AY90" s="697" t="s">
        <v>2075</v>
      </c>
      <c r="AZ90" s="1965" t="s">
        <v>2049</v>
      </c>
      <c r="BA90" s="1966">
        <v>0</v>
      </c>
      <c r="BB90" s="1966">
        <v>0</v>
      </c>
      <c r="BC90" s="1966">
        <v>0</v>
      </c>
      <c r="BD90" s="1966">
        <v>0</v>
      </c>
      <c r="BE90" s="1966">
        <v>0</v>
      </c>
      <c r="BF90" s="1966">
        <v>0</v>
      </c>
      <c r="BG90" s="1966">
        <v>0</v>
      </c>
      <c r="BH90" s="1966">
        <v>0</v>
      </c>
      <c r="BI90" s="1966">
        <v>0</v>
      </c>
      <c r="BJ90" s="1966">
        <v>0</v>
      </c>
      <c r="BK90" s="1968"/>
      <c r="BL90" s="1966"/>
      <c r="BM90" s="1966"/>
      <c r="BO90" s="1961" t="s">
        <v>2746</v>
      </c>
      <c r="BP90" s="697" t="s">
        <v>2075</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2075</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2075</v>
      </c>
      <c r="CZ90" s="1965" t="s">
        <v>81</v>
      </c>
      <c r="DA90" s="2909">
        <f t="shared" si="115"/>
        <v>0</v>
      </c>
      <c r="DB90" s="2909"/>
      <c r="DC90" s="2909"/>
      <c r="DD90" s="2909"/>
      <c r="DE90" s="2909"/>
      <c r="DF90" s="2909"/>
      <c r="DG90" s="2909"/>
      <c r="DH90" s="2909"/>
      <c r="DI90" s="2909"/>
      <c r="DJ90" s="2909"/>
      <c r="DK90" s="2909"/>
      <c r="DL90" s="2909"/>
      <c r="DM90" s="2909"/>
    </row>
    <row r="91" spans="2:117" hidden="1">
      <c r="B91" s="1916" t="str">
        <f t="shared" si="116"/>
        <v>2.3.2</v>
      </c>
      <c r="C91" s="3000">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2747</v>
      </c>
      <c r="AH91" s="1937" t="s">
        <v>2748</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1388</v>
      </c>
      <c r="AY91" s="697" t="s">
        <v>2075</v>
      </c>
      <c r="AZ91" s="1965" t="s">
        <v>2050</v>
      </c>
      <c r="BA91" s="1966">
        <v>0</v>
      </c>
      <c r="BB91" s="1966">
        <v>0</v>
      </c>
      <c r="BC91" s="1966">
        <v>0</v>
      </c>
      <c r="BD91" s="1966">
        <v>0</v>
      </c>
      <c r="BE91" s="1966">
        <v>0</v>
      </c>
      <c r="BF91" s="1966">
        <v>0</v>
      </c>
      <c r="BG91" s="1966">
        <v>0</v>
      </c>
      <c r="BH91" s="1966">
        <v>0</v>
      </c>
      <c r="BI91" s="1966">
        <v>0</v>
      </c>
      <c r="BJ91" s="1966">
        <v>0</v>
      </c>
      <c r="BK91" s="1968"/>
      <c r="BL91" s="1966"/>
      <c r="BM91" s="1966"/>
      <c r="BO91" s="1961" t="s">
        <v>1388</v>
      </c>
      <c r="BP91" s="697" t="s">
        <v>2075</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2075</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2075</v>
      </c>
      <c r="CZ91" s="1965" t="s">
        <v>82</v>
      </c>
      <c r="DA91" s="2909">
        <f t="shared" si="115"/>
        <v>0</v>
      </c>
      <c r="DB91" s="2909"/>
      <c r="DC91" s="2909"/>
      <c r="DD91" s="2909"/>
      <c r="DE91" s="2909"/>
      <c r="DF91" s="2909"/>
      <c r="DG91" s="2909"/>
      <c r="DH91" s="2909"/>
      <c r="DI91" s="2909"/>
      <c r="DJ91" s="2909"/>
      <c r="DK91" s="2909"/>
      <c r="DL91" s="2909"/>
      <c r="DM91" s="2909"/>
    </row>
    <row r="92" spans="2:117" hidden="1">
      <c r="B92" s="1916" t="str">
        <f t="shared" si="116"/>
        <v>2.3.3</v>
      </c>
      <c r="C92" s="3000">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1389</v>
      </c>
      <c r="AH92" s="1937" t="s">
        <v>1390</v>
      </c>
      <c r="AI92" s="1941" t="s">
        <v>2076</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1391</v>
      </c>
      <c r="AY92" s="697" t="s">
        <v>2075</v>
      </c>
      <c r="AZ92" s="1965" t="s">
        <v>2051</v>
      </c>
      <c r="BA92" s="1966">
        <v>0</v>
      </c>
      <c r="BB92" s="1966">
        <v>0</v>
      </c>
      <c r="BC92" s="1966">
        <v>0</v>
      </c>
      <c r="BD92" s="1966">
        <v>0</v>
      </c>
      <c r="BE92" s="1966">
        <v>0</v>
      </c>
      <c r="BF92" s="1966">
        <v>0</v>
      </c>
      <c r="BG92" s="1966">
        <v>0</v>
      </c>
      <c r="BH92" s="1966">
        <v>0</v>
      </c>
      <c r="BI92" s="1966">
        <v>0</v>
      </c>
      <c r="BJ92" s="1966">
        <v>0</v>
      </c>
      <c r="BK92" s="1968"/>
      <c r="BL92" s="1966"/>
      <c r="BM92" s="1966"/>
      <c r="BO92" s="1961" t="s">
        <v>1391</v>
      </c>
      <c r="BP92" s="697" t="s">
        <v>2075</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1389</v>
      </c>
      <c r="CH92" s="697" t="s">
        <v>2075</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1389</v>
      </c>
      <c r="CY92" s="697" t="s">
        <v>2075</v>
      </c>
      <c r="CZ92" s="1965" t="s">
        <v>2076</v>
      </c>
      <c r="DA92" s="2909">
        <f t="shared" si="115"/>
        <v>0</v>
      </c>
      <c r="DB92" s="2909"/>
      <c r="DC92" s="2909"/>
      <c r="DD92" s="2909"/>
      <c r="DE92" s="2909"/>
      <c r="DF92" s="2909"/>
      <c r="DG92" s="2909"/>
      <c r="DH92" s="2909"/>
      <c r="DI92" s="2909"/>
      <c r="DJ92" s="2909"/>
      <c r="DK92" s="2909"/>
      <c r="DL92" s="2909"/>
      <c r="DM92" s="2909"/>
    </row>
    <row r="93" spans="2:117">
      <c r="B93" s="1916">
        <f t="shared" si="116"/>
        <v>2.4</v>
      </c>
      <c r="C93" s="1938" t="str">
        <f t="shared" si="93"/>
        <v>信頼性</v>
      </c>
      <c r="D93" s="1935">
        <f>IF(I$78=0,0,G93/I$78)</f>
        <v>0.2</v>
      </c>
      <c r="E93" s="1936">
        <f>IF(J$78=0,0,H93/J$78)</f>
        <v>0</v>
      </c>
      <c r="G93" s="1936">
        <f t="shared" si="98"/>
        <v>0.2</v>
      </c>
      <c r="H93" s="1936">
        <f t="shared" si="99"/>
        <v>0</v>
      </c>
      <c r="I93" s="1936">
        <f>SUM(G94:G98)</f>
        <v>1</v>
      </c>
      <c r="J93" s="1936">
        <f>SUM(H94:H98)</f>
        <v>0</v>
      </c>
      <c r="K93" s="1936">
        <f>IF(スコア!O93=0,0,1)</f>
        <v>1</v>
      </c>
      <c r="L93" s="1936">
        <f>IF(スコア!R93=0,0,1)</f>
        <v>0</v>
      </c>
      <c r="M93" s="1936">
        <f t="shared" si="100"/>
        <v>0.2</v>
      </c>
      <c r="N93" s="1936">
        <f t="shared" si="101"/>
        <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2065</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2065</v>
      </c>
      <c r="AZ93" s="1938" t="s">
        <v>2052</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2065</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2065</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2065</v>
      </c>
      <c r="CZ93" s="1938" t="s">
        <v>84</v>
      </c>
      <c r="DA93" s="2924">
        <v>0.6</v>
      </c>
      <c r="DB93" s="2695"/>
      <c r="DC93" s="2695"/>
      <c r="DD93" s="2695"/>
      <c r="DE93" s="2695"/>
      <c r="DF93" s="2695"/>
      <c r="DG93" s="2695"/>
      <c r="DH93" s="2778"/>
      <c r="DI93" s="2695"/>
      <c r="DJ93" s="2695"/>
      <c r="DK93" s="2905"/>
      <c r="DL93" s="2695"/>
      <c r="DM93" s="2695"/>
    </row>
    <row r="94" spans="2:117">
      <c r="B94" s="1916" t="str">
        <f t="shared" si="116"/>
        <v>2.4.1</v>
      </c>
      <c r="C94" s="1938" t="str">
        <f t="shared" si="93"/>
        <v>空調・換気設備</v>
      </c>
      <c r="D94" s="1926">
        <f>IF(I$93&gt;0,G94/I$93,0)</f>
        <v>0.2</v>
      </c>
      <c r="E94" s="1936">
        <f t="shared" ref="D94:E98" si="119">IF(J$93&gt;0,H94/J$93,0)</f>
        <v>0</v>
      </c>
      <c r="G94" s="1936">
        <f t="shared" si="98"/>
        <v>0.2</v>
      </c>
      <c r="H94" s="1936">
        <f t="shared" si="99"/>
        <v>0</v>
      </c>
      <c r="I94" s="1936"/>
      <c r="J94" s="1936"/>
      <c r="K94" s="1936">
        <f>IF(スコア!O94=0,0,1)</f>
        <v>1</v>
      </c>
      <c r="L94" s="1936">
        <f>IF(スコア!R94=0,0,1)</f>
        <v>0</v>
      </c>
      <c r="M94" s="1936">
        <f t="shared" si="100"/>
        <v>0.2</v>
      </c>
      <c r="N94" s="1936">
        <f t="shared" si="101"/>
        <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1392</v>
      </c>
      <c r="AH94" s="1941" t="s">
        <v>2077</v>
      </c>
      <c r="AI94" s="1942" t="s">
        <v>2078</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1392</v>
      </c>
      <c r="AY94" s="1941" t="s">
        <v>2077</v>
      </c>
      <c r="AZ94" s="1942" t="s">
        <v>2078</v>
      </c>
      <c r="BA94" s="1944">
        <v>0.2</v>
      </c>
      <c r="BB94" s="1944">
        <v>0.2</v>
      </c>
      <c r="BC94" s="1944">
        <v>0.2</v>
      </c>
      <c r="BD94" s="1944">
        <v>0.2</v>
      </c>
      <c r="BE94" s="1944">
        <v>0.2</v>
      </c>
      <c r="BF94" s="1944">
        <v>0.2</v>
      </c>
      <c r="BG94" s="1944">
        <v>0.2</v>
      </c>
      <c r="BH94" s="1951">
        <v>0.2</v>
      </c>
      <c r="BI94" s="1944">
        <v>0.2</v>
      </c>
      <c r="BJ94" s="1944">
        <v>0.2</v>
      </c>
      <c r="BK94" s="1945"/>
      <c r="BL94" s="1944"/>
      <c r="BM94" s="1944"/>
      <c r="BO94" s="1937" t="s">
        <v>1392</v>
      </c>
      <c r="BP94" s="1941" t="s">
        <v>2077</v>
      </c>
      <c r="BQ94" s="1942" t="s">
        <v>2078</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1392</v>
      </c>
      <c r="CH94" s="1941" t="s">
        <v>2077</v>
      </c>
      <c r="CI94" s="1942" t="s">
        <v>2078</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1392</v>
      </c>
      <c r="CY94" s="1941" t="s">
        <v>2077</v>
      </c>
      <c r="CZ94" s="1942" t="s">
        <v>2078</v>
      </c>
      <c r="DA94" s="2931">
        <v>0.15</v>
      </c>
      <c r="DB94" s="2695"/>
      <c r="DC94" s="2695"/>
      <c r="DD94" s="2695"/>
      <c r="DE94" s="2695"/>
      <c r="DF94" s="2695"/>
      <c r="DG94" s="2695"/>
      <c r="DH94" s="2695"/>
      <c r="DI94" s="2695"/>
      <c r="DJ94" s="2695"/>
      <c r="DK94" s="2905"/>
      <c r="DL94" s="2695"/>
      <c r="DM94" s="2695"/>
    </row>
    <row r="95" spans="2:117">
      <c r="B95" s="1916" t="str">
        <f t="shared" si="116"/>
        <v>2.4.2</v>
      </c>
      <c r="C95" s="1938" t="str">
        <f t="shared" si="93"/>
        <v>給排水・衛生設備</v>
      </c>
      <c r="D95" s="1926">
        <f t="shared" si="119"/>
        <v>0.2</v>
      </c>
      <c r="E95" s="1936">
        <f t="shared" si="119"/>
        <v>0</v>
      </c>
      <c r="G95" s="1936">
        <f t="shared" si="98"/>
        <v>0.2</v>
      </c>
      <c r="H95" s="1936">
        <f t="shared" si="99"/>
        <v>0</v>
      </c>
      <c r="I95" s="1936"/>
      <c r="J95" s="1936"/>
      <c r="K95" s="1936">
        <f>IF(スコア!O95=0,0,1)</f>
        <v>1</v>
      </c>
      <c r="L95" s="1936">
        <f>IF(スコア!R95=0,0,1)</f>
        <v>0</v>
      </c>
      <c r="M95" s="1936">
        <f t="shared" si="100"/>
        <v>0.2</v>
      </c>
      <c r="N95" s="1936">
        <f t="shared" si="101"/>
        <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2079</v>
      </c>
      <c r="AH95" s="1941" t="s">
        <v>2077</v>
      </c>
      <c r="AI95" s="1942" t="s">
        <v>2080</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2079</v>
      </c>
      <c r="AY95" s="1941" t="s">
        <v>2077</v>
      </c>
      <c r="AZ95" s="1942" t="s">
        <v>2080</v>
      </c>
      <c r="BA95" s="1944">
        <v>0.2</v>
      </c>
      <c r="BB95" s="1944">
        <v>0.2</v>
      </c>
      <c r="BC95" s="1944">
        <v>0.2</v>
      </c>
      <c r="BD95" s="1944">
        <v>0.2</v>
      </c>
      <c r="BE95" s="1944">
        <v>0.2</v>
      </c>
      <c r="BF95" s="1944">
        <v>0.2</v>
      </c>
      <c r="BG95" s="1944">
        <v>0.2</v>
      </c>
      <c r="BH95" s="1951">
        <v>0.2</v>
      </c>
      <c r="BI95" s="1944">
        <v>0.2</v>
      </c>
      <c r="BJ95" s="1944">
        <v>0.2</v>
      </c>
      <c r="BK95" s="1945"/>
      <c r="BL95" s="1944"/>
      <c r="BM95" s="1944"/>
      <c r="BO95" s="1937" t="s">
        <v>2079</v>
      </c>
      <c r="BP95" s="1941" t="s">
        <v>2077</v>
      </c>
      <c r="BQ95" s="1942" t="s">
        <v>2080</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2079</v>
      </c>
      <c r="CH95" s="1941" t="s">
        <v>2077</v>
      </c>
      <c r="CI95" s="1942" t="s">
        <v>2080</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2079</v>
      </c>
      <c r="CY95" s="1941" t="s">
        <v>2077</v>
      </c>
      <c r="CZ95" s="1942" t="s">
        <v>2080</v>
      </c>
      <c r="DA95" s="2931">
        <v>0.15</v>
      </c>
      <c r="DB95" s="2695"/>
      <c r="DC95" s="2695"/>
      <c r="DD95" s="2695"/>
      <c r="DE95" s="2695"/>
      <c r="DF95" s="2695"/>
      <c r="DG95" s="2695"/>
      <c r="DH95" s="2695"/>
      <c r="DI95" s="2695"/>
      <c r="DJ95" s="2695"/>
      <c r="DK95" s="2905"/>
      <c r="DL95" s="2695"/>
      <c r="DM95" s="2695"/>
    </row>
    <row r="96" spans="2:117">
      <c r="B96" s="1916" t="str">
        <f t="shared" si="116"/>
        <v>2.4.3</v>
      </c>
      <c r="C96" s="1938" t="str">
        <f t="shared" si="93"/>
        <v>電気設備</v>
      </c>
      <c r="D96" s="1926">
        <f t="shared" si="119"/>
        <v>0.2</v>
      </c>
      <c r="E96" s="1936">
        <f t="shared" si="119"/>
        <v>0</v>
      </c>
      <c r="G96" s="1936">
        <f t="shared" si="98"/>
        <v>0.2</v>
      </c>
      <c r="H96" s="1936">
        <f t="shared" si="99"/>
        <v>0</v>
      </c>
      <c r="I96" s="1936"/>
      <c r="J96" s="1936"/>
      <c r="K96" s="1936">
        <f>IF(スコア!O96=0,0,1)</f>
        <v>1</v>
      </c>
      <c r="L96" s="1936">
        <f>IF(スコア!R96=0,0,1)</f>
        <v>0</v>
      </c>
      <c r="M96" s="1936">
        <f t="shared" si="100"/>
        <v>0.2</v>
      </c>
      <c r="N96" s="1936">
        <f t="shared" si="101"/>
        <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2081</v>
      </c>
      <c r="AH96" s="1941" t="s">
        <v>2077</v>
      </c>
      <c r="AI96" s="1942" t="s">
        <v>2082</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2081</v>
      </c>
      <c r="AY96" s="1941" t="s">
        <v>2077</v>
      </c>
      <c r="AZ96" s="1942" t="s">
        <v>2082</v>
      </c>
      <c r="BA96" s="1944">
        <v>0.2</v>
      </c>
      <c r="BB96" s="1944">
        <v>0.2</v>
      </c>
      <c r="BC96" s="1944">
        <v>0.2</v>
      </c>
      <c r="BD96" s="1944">
        <v>0.2</v>
      </c>
      <c r="BE96" s="1944">
        <v>0.2</v>
      </c>
      <c r="BF96" s="1944">
        <v>0.2</v>
      </c>
      <c r="BG96" s="1944">
        <v>0.2</v>
      </c>
      <c r="BH96" s="1951">
        <v>0.2</v>
      </c>
      <c r="BI96" s="1944">
        <v>0.2</v>
      </c>
      <c r="BJ96" s="1944">
        <v>0.2</v>
      </c>
      <c r="BK96" s="1945"/>
      <c r="BL96" s="1944"/>
      <c r="BM96" s="1944"/>
      <c r="BO96" s="1937" t="s">
        <v>2081</v>
      </c>
      <c r="BP96" s="1941" t="s">
        <v>2077</v>
      </c>
      <c r="BQ96" s="1942" t="s">
        <v>2082</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2081</v>
      </c>
      <c r="CH96" s="1941" t="s">
        <v>2077</v>
      </c>
      <c r="CI96" s="1942" t="s">
        <v>2082</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2081</v>
      </c>
      <c r="CY96" s="1941" t="s">
        <v>2077</v>
      </c>
      <c r="CZ96" s="1942" t="s">
        <v>2082</v>
      </c>
      <c r="DA96" s="2931">
        <v>0.25</v>
      </c>
      <c r="DB96" s="2695"/>
      <c r="DC96" s="2695"/>
      <c r="DD96" s="2695"/>
      <c r="DE96" s="2695"/>
      <c r="DF96" s="2695"/>
      <c r="DG96" s="2695"/>
      <c r="DH96" s="2695"/>
      <c r="DI96" s="2695"/>
      <c r="DJ96" s="2695"/>
      <c r="DK96" s="2905"/>
      <c r="DL96" s="2695"/>
      <c r="DM96" s="2695"/>
    </row>
    <row r="97" spans="2:117">
      <c r="B97" s="1916" t="str">
        <f t="shared" si="116"/>
        <v>2.4.4</v>
      </c>
      <c r="C97" s="1938" t="str">
        <f t="shared" si="93"/>
        <v>機械・配管支持方法</v>
      </c>
      <c r="D97" s="1926">
        <f t="shared" si="119"/>
        <v>0.2</v>
      </c>
      <c r="E97" s="1936">
        <f t="shared" si="119"/>
        <v>0</v>
      </c>
      <c r="G97" s="1936">
        <f t="shared" si="98"/>
        <v>0.2</v>
      </c>
      <c r="H97" s="1936">
        <f t="shared" si="99"/>
        <v>0</v>
      </c>
      <c r="I97" s="1936"/>
      <c r="J97" s="1936"/>
      <c r="K97" s="1936">
        <f>IF(スコア!O97=0,0,1)</f>
        <v>1</v>
      </c>
      <c r="L97" s="1936">
        <f>IF(スコア!R97=0,0,1)</f>
        <v>0</v>
      </c>
      <c r="M97" s="1936">
        <f t="shared" si="100"/>
        <v>0.2</v>
      </c>
      <c r="N97" s="1936">
        <f t="shared" si="101"/>
        <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2083</v>
      </c>
      <c r="AH97" s="1941" t="s">
        <v>2077</v>
      </c>
      <c r="AI97" s="1942" t="s">
        <v>2084</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2083</v>
      </c>
      <c r="AY97" s="1941" t="s">
        <v>2077</v>
      </c>
      <c r="AZ97" s="1942" t="s">
        <v>2084</v>
      </c>
      <c r="BA97" s="1944">
        <v>0.2</v>
      </c>
      <c r="BB97" s="1944">
        <v>0.2</v>
      </c>
      <c r="BC97" s="1944">
        <v>0.2</v>
      </c>
      <c r="BD97" s="1944">
        <v>0.2</v>
      </c>
      <c r="BE97" s="1944">
        <v>0.2</v>
      </c>
      <c r="BF97" s="1944">
        <v>0.2</v>
      </c>
      <c r="BG97" s="1944">
        <v>0.2</v>
      </c>
      <c r="BH97" s="1951">
        <v>0.2</v>
      </c>
      <c r="BI97" s="1944">
        <v>0.2</v>
      </c>
      <c r="BJ97" s="1944">
        <v>0.2</v>
      </c>
      <c r="BK97" s="1945"/>
      <c r="BL97" s="1944"/>
      <c r="BM97" s="1944"/>
      <c r="BO97" s="1937" t="s">
        <v>2083</v>
      </c>
      <c r="BP97" s="1941" t="s">
        <v>2077</v>
      </c>
      <c r="BQ97" s="1942" t="s">
        <v>2084</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2083</v>
      </c>
      <c r="CH97" s="1941" t="s">
        <v>2077</v>
      </c>
      <c r="CI97" s="1942" t="s">
        <v>2084</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2083</v>
      </c>
      <c r="CY97" s="1941" t="s">
        <v>2077</v>
      </c>
      <c r="CZ97" s="1942" t="s">
        <v>2084</v>
      </c>
      <c r="DA97" s="2931">
        <v>0.2</v>
      </c>
      <c r="DB97" s="2695"/>
      <c r="DC97" s="2695"/>
      <c r="DD97" s="2695"/>
      <c r="DE97" s="2695"/>
      <c r="DF97" s="2695"/>
      <c r="DG97" s="2695"/>
      <c r="DH97" s="2695"/>
      <c r="DI97" s="2695"/>
      <c r="DJ97" s="2695"/>
      <c r="DK97" s="2905"/>
      <c r="DL97" s="2695"/>
      <c r="DM97" s="2695"/>
    </row>
    <row r="98" spans="2:117">
      <c r="B98" s="1916" t="str">
        <f t="shared" si="116"/>
        <v>2.4.5</v>
      </c>
      <c r="C98" s="1938" t="str">
        <f t="shared" si="93"/>
        <v>通信・情報設備</v>
      </c>
      <c r="D98" s="1926">
        <f t="shared" si="119"/>
        <v>0.2</v>
      </c>
      <c r="E98" s="1936">
        <f t="shared" si="119"/>
        <v>0</v>
      </c>
      <c r="G98" s="1936">
        <f t="shared" si="98"/>
        <v>0.2</v>
      </c>
      <c r="H98" s="1936">
        <f t="shared" si="99"/>
        <v>0</v>
      </c>
      <c r="I98" s="1936"/>
      <c r="J98" s="1936"/>
      <c r="K98" s="1936">
        <f>IF(スコア!O98=0,0,1)</f>
        <v>1</v>
      </c>
      <c r="L98" s="1936">
        <f>IF(スコア!R98=0,0,1)</f>
        <v>0</v>
      </c>
      <c r="M98" s="1936">
        <f t="shared" si="100"/>
        <v>0.2</v>
      </c>
      <c r="N98" s="1936">
        <f t="shared" si="101"/>
        <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2085</v>
      </c>
      <c r="AH98" s="1941" t="s">
        <v>2077</v>
      </c>
      <c r="AI98" s="1942" t="s">
        <v>2086</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2085</v>
      </c>
      <c r="AY98" s="1941" t="s">
        <v>2077</v>
      </c>
      <c r="AZ98" s="1942" t="s">
        <v>2086</v>
      </c>
      <c r="BA98" s="1944">
        <v>0.2</v>
      </c>
      <c r="BB98" s="1944">
        <v>0.2</v>
      </c>
      <c r="BC98" s="1944">
        <v>0.2</v>
      </c>
      <c r="BD98" s="1944">
        <v>0.2</v>
      </c>
      <c r="BE98" s="1944">
        <v>0.2</v>
      </c>
      <c r="BF98" s="1944">
        <v>0.2</v>
      </c>
      <c r="BG98" s="1944">
        <v>0.2</v>
      </c>
      <c r="BH98" s="1951">
        <v>0.2</v>
      </c>
      <c r="BI98" s="1944">
        <v>0.2</v>
      </c>
      <c r="BJ98" s="1944">
        <v>0.2</v>
      </c>
      <c r="BK98" s="1945"/>
      <c r="BL98" s="1944"/>
      <c r="BM98" s="1944"/>
      <c r="BO98" s="1937" t="s">
        <v>2085</v>
      </c>
      <c r="BP98" s="1941" t="s">
        <v>2077</v>
      </c>
      <c r="BQ98" s="1942" t="s">
        <v>2086</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2085</v>
      </c>
      <c r="CH98" s="1941" t="s">
        <v>2077</v>
      </c>
      <c r="CI98" s="1942" t="s">
        <v>2086</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2085</v>
      </c>
      <c r="CY98" s="1941" t="s">
        <v>2077</v>
      </c>
      <c r="CZ98" s="1942" t="s">
        <v>2086</v>
      </c>
      <c r="DA98" s="2931">
        <v>0.25</v>
      </c>
      <c r="DB98" s="2695"/>
      <c r="DC98" s="2695"/>
      <c r="DD98" s="2695"/>
      <c r="DE98" s="2695"/>
      <c r="DF98" s="2695"/>
      <c r="DG98" s="2695"/>
      <c r="DH98" s="2695"/>
      <c r="DI98" s="2695"/>
      <c r="DJ98" s="2695"/>
      <c r="DK98" s="2905"/>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952</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952</v>
      </c>
      <c r="AZ99" s="1942"/>
      <c r="BA99" s="1944"/>
      <c r="BB99" s="1944"/>
      <c r="BC99" s="1944"/>
      <c r="BD99" s="1944"/>
      <c r="BE99" s="1944"/>
      <c r="BF99" s="1944"/>
      <c r="BG99" s="1944"/>
      <c r="BH99" s="1951"/>
      <c r="BI99" s="1944"/>
      <c r="BJ99" s="1944"/>
      <c r="BK99" s="1945"/>
      <c r="BL99" s="1944"/>
      <c r="BM99" s="1944"/>
      <c r="BO99" s="1937"/>
      <c r="BP99" s="1941" t="s">
        <v>952</v>
      </c>
      <c r="BQ99" s="1942"/>
      <c r="BR99" s="1944"/>
      <c r="BS99" s="1944"/>
      <c r="BT99" s="1944"/>
      <c r="BU99" s="1944"/>
      <c r="BV99" s="1944"/>
      <c r="BW99" s="1944"/>
      <c r="BX99" s="1944"/>
      <c r="BY99" s="1951"/>
      <c r="BZ99" s="1944"/>
      <c r="CA99" s="1944"/>
      <c r="CB99" s="1945"/>
      <c r="CC99" s="1944"/>
      <c r="CD99" s="1944"/>
      <c r="CE99" s="2272"/>
      <c r="CG99" s="1937"/>
      <c r="CH99" s="1941" t="s">
        <v>952</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952</v>
      </c>
      <c r="CZ99" s="1942"/>
      <c r="DA99" s="2695">
        <f t="shared" si="115"/>
        <v>0</v>
      </c>
      <c r="DB99" s="2695"/>
      <c r="DC99" s="2695"/>
      <c r="DD99" s="2695"/>
      <c r="DE99" s="2695"/>
      <c r="DF99" s="2695"/>
      <c r="DG99" s="2695"/>
      <c r="DH99" s="2778"/>
      <c r="DI99" s="2695"/>
      <c r="DJ99" s="2695"/>
      <c r="DK99" s="2905"/>
      <c r="DL99" s="2695"/>
      <c r="DM99" s="2695"/>
    </row>
    <row r="100" spans="2:117">
      <c r="B100" s="1916">
        <f t="shared" si="116"/>
        <v>3</v>
      </c>
      <c r="C100" s="1928" t="str">
        <f t="shared" si="93"/>
        <v>対応性・更新性</v>
      </c>
      <c r="D100" s="1924">
        <f>IF(I$62=0,0,G100/I$62)</f>
        <v>0.3</v>
      </c>
      <c r="E100" s="1925">
        <f>IF(J$62=0,0,H100/J$62)</f>
        <v>0</v>
      </c>
      <c r="G100" s="1925">
        <f t="shared" si="98"/>
        <v>0.3</v>
      </c>
      <c r="H100" s="1925">
        <f t="shared" si="99"/>
        <v>0</v>
      </c>
      <c r="I100" s="1925">
        <f>G101+G104+G105</f>
        <v>1</v>
      </c>
      <c r="J100" s="1925">
        <f>H101+H104+H105</f>
        <v>0</v>
      </c>
      <c r="K100" s="1925">
        <f>IF(スコア!O100=0,0,1)</f>
        <v>1</v>
      </c>
      <c r="L100" s="1925">
        <f>IF(スコア!R100=0,0,1)</f>
        <v>0</v>
      </c>
      <c r="M100" s="1925">
        <f t="shared" si="100"/>
        <v>0.3</v>
      </c>
      <c r="N100" s="1925">
        <f t="shared" ref="N100:N119" si="120">(AC$7*AC100)+(AD$7*AD100)+(AE$7*AE100)</f>
        <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2554</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2554</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2554</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2554</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2554</v>
      </c>
      <c r="CZ100" s="1953" t="s">
        <v>152</v>
      </c>
      <c r="DA100" s="2932">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0.3</v>
      </c>
      <c r="E101" s="1936">
        <f>IF(J$100=0,0,H101/J$100)</f>
        <v>0</v>
      </c>
      <c r="G101" s="1936">
        <f t="shared" si="98"/>
        <v>0.3</v>
      </c>
      <c r="H101" s="1936">
        <f t="shared" si="99"/>
        <v>0</v>
      </c>
      <c r="I101" s="1936">
        <f>SUM(G102:G103)</f>
        <v>1</v>
      </c>
      <c r="J101" s="1936">
        <f>SUM(H102:H103)</f>
        <v>0</v>
      </c>
      <c r="K101" s="1936">
        <f>IF(スコア!O101=0,0,1)</f>
        <v>1</v>
      </c>
      <c r="L101" s="1936">
        <f>IF(スコア!R101=0,0,1)</f>
        <v>0</v>
      </c>
      <c r="M101" s="1936">
        <f t="shared" si="100"/>
        <v>0.3</v>
      </c>
      <c r="N101" s="1936">
        <f t="shared" si="120"/>
        <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1246</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1246</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1246</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1246</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1246</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0.6</v>
      </c>
      <c r="E102" s="1936">
        <f>IF(J$101&gt;0,H102/J$101,0)</f>
        <v>0</v>
      </c>
      <c r="G102" s="1936">
        <f t="shared" si="98"/>
        <v>0.6</v>
      </c>
      <c r="H102" s="1936">
        <f t="shared" si="99"/>
        <v>0</v>
      </c>
      <c r="I102" s="1936"/>
      <c r="J102" s="1936"/>
      <c r="K102" s="1936">
        <f>IF(スコア!O102=0,0,1)</f>
        <v>1</v>
      </c>
      <c r="L102" s="1936">
        <f>IF(スコア!R102=0,0,1)</f>
        <v>1</v>
      </c>
      <c r="M102" s="1936">
        <f t="shared" si="100"/>
        <v>0.6</v>
      </c>
      <c r="N102" s="1936">
        <f t="shared" si="120"/>
        <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1393</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1393</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1393</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1140</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1140</v>
      </c>
      <c r="CY102" s="1941" t="s">
        <v>154</v>
      </c>
      <c r="CZ102" s="1942" t="s">
        <v>155</v>
      </c>
      <c r="DA102" s="2924">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0.4</v>
      </c>
      <c r="E103" s="1936">
        <f>IF(J$101&gt;0,H103/J$101,0)</f>
        <v>0</v>
      </c>
      <c r="G103" s="1936">
        <f t="shared" si="98"/>
        <v>0.4</v>
      </c>
      <c r="H103" s="1936">
        <f t="shared" si="99"/>
        <v>0</v>
      </c>
      <c r="I103" s="1936"/>
      <c r="J103" s="1936"/>
      <c r="K103" s="1936">
        <f>IF(スコア!O103=0,0,1)</f>
        <v>1</v>
      </c>
      <c r="L103" s="1936">
        <f>IF(スコア!R103=0,0,1)</f>
        <v>1</v>
      </c>
      <c r="M103" s="1936">
        <f t="shared" si="100"/>
        <v>0.4</v>
      </c>
      <c r="N103" s="1936">
        <f t="shared" si="120"/>
        <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1394</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1394</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1394</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1141</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1141</v>
      </c>
      <c r="CY103" s="1941" t="s">
        <v>154</v>
      </c>
      <c r="CZ103" s="1942" t="s">
        <v>156</v>
      </c>
      <c r="DA103" s="2924">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0.3</v>
      </c>
      <c r="E104" s="1936">
        <f>IF(J$100=0,0,H104/J$100)</f>
        <v>0</v>
      </c>
      <c r="G104" s="1936">
        <f t="shared" si="98"/>
        <v>0.3</v>
      </c>
      <c r="H104" s="1936">
        <f t="shared" si="99"/>
        <v>0</v>
      </c>
      <c r="I104" s="1936"/>
      <c r="J104" s="1936"/>
      <c r="K104" s="1936">
        <f>IF(スコア!O104=0,0,1)</f>
        <v>1</v>
      </c>
      <c r="L104" s="1936">
        <f>IF(スコア!R104=0,0,1)</f>
        <v>1</v>
      </c>
      <c r="M104" s="1936">
        <f t="shared" si="100"/>
        <v>0.3</v>
      </c>
      <c r="N104" s="1936">
        <f t="shared" si="120"/>
        <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1249</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1249</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1249</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1249</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1249</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0.4</v>
      </c>
      <c r="E105" s="1936">
        <f>IF(J$100=0,0,H105/J$100)</f>
        <v>0</v>
      </c>
      <c r="G105" s="1936">
        <f t="shared" si="98"/>
        <v>0.4</v>
      </c>
      <c r="H105" s="1936">
        <f t="shared" si="99"/>
        <v>0</v>
      </c>
      <c r="I105" s="1936">
        <f>SUM(G106:G111)</f>
        <v>1</v>
      </c>
      <c r="J105" s="1936">
        <f>SUM(H106:H111)</f>
        <v>0</v>
      </c>
      <c r="K105" s="1936">
        <f>IF(スコア!O105=0,0,1)</f>
        <v>1</v>
      </c>
      <c r="L105" s="1936">
        <f>IF(スコア!R105=0,0,1)</f>
        <v>0</v>
      </c>
      <c r="M105" s="1936">
        <f t="shared" si="100"/>
        <v>0.4</v>
      </c>
      <c r="N105" s="1936">
        <f t="shared" si="120"/>
        <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1250</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1250</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1250</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1250</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1250</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0.2</v>
      </c>
      <c r="E106" s="1936">
        <f t="shared" ref="D106:E111" si="121">IF(J$105&gt;0,H106/J$105,0)</f>
        <v>0</v>
      </c>
      <c r="G106" s="1936">
        <f t="shared" si="98"/>
        <v>0.2</v>
      </c>
      <c r="H106" s="1936">
        <f t="shared" si="99"/>
        <v>0</v>
      </c>
      <c r="I106" s="1936"/>
      <c r="J106" s="1936"/>
      <c r="K106" s="1936">
        <f>IF(スコア!O106=0,0,1)</f>
        <v>1</v>
      </c>
      <c r="L106" s="1936">
        <f>IF(スコア!R106=0,0,1)</f>
        <v>0</v>
      </c>
      <c r="M106" s="1936">
        <f t="shared" si="100"/>
        <v>0.2</v>
      </c>
      <c r="N106" s="1936">
        <f t="shared" si="120"/>
        <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1395</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1395</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1395</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1395</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1395</v>
      </c>
      <c r="CY106" s="1941" t="s">
        <v>157</v>
      </c>
      <c r="CZ106" s="1942" t="s">
        <v>158</v>
      </c>
      <c r="DA106" s="2924">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0.2</v>
      </c>
      <c r="E107" s="1936">
        <f t="shared" si="121"/>
        <v>0</v>
      </c>
      <c r="G107" s="1936">
        <f t="shared" si="98"/>
        <v>0.2</v>
      </c>
      <c r="H107" s="1936">
        <f t="shared" si="99"/>
        <v>0</v>
      </c>
      <c r="I107" s="1936"/>
      <c r="J107" s="1936"/>
      <c r="K107" s="1936">
        <f>IF(スコア!O107=0,0,1)</f>
        <v>1</v>
      </c>
      <c r="L107" s="1936">
        <f>IF(スコア!R107=0,0,1)</f>
        <v>0</v>
      </c>
      <c r="M107" s="1936">
        <f t="shared" si="100"/>
        <v>0.2</v>
      </c>
      <c r="N107" s="1936">
        <f t="shared" si="120"/>
        <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1396</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1396</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1396</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1396</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1396</v>
      </c>
      <c r="CY107" s="1941" t="s">
        <v>157</v>
      </c>
      <c r="CZ107" s="1942" t="s">
        <v>159</v>
      </c>
      <c r="DA107" s="2924">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0.1</v>
      </c>
      <c r="E108" s="1936">
        <f t="shared" si="121"/>
        <v>0</v>
      </c>
      <c r="G108" s="1936">
        <f t="shared" ref="G108:G145" si="122">K108*M108</f>
        <v>0.1</v>
      </c>
      <c r="H108" s="1936">
        <f t="shared" ref="H108:H145" si="123">L108*N108</f>
        <v>0</v>
      </c>
      <c r="I108" s="1936"/>
      <c r="J108" s="1936"/>
      <c r="K108" s="1936">
        <f>IF(スコア!O108=0,0,1)</f>
        <v>1</v>
      </c>
      <c r="L108" s="1936">
        <f>IF(スコア!R108=0,0,1)</f>
        <v>0</v>
      </c>
      <c r="M108" s="1936">
        <f t="shared" ref="M108:M145" si="124">SUMPRODUCT($S$7:$AB$7,S108:AB108)</f>
        <v>0.1</v>
      </c>
      <c r="N108" s="1936">
        <f t="shared" si="120"/>
        <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1397</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1397</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1397</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1397</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1397</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0.1</v>
      </c>
      <c r="E109" s="1936">
        <f t="shared" si="121"/>
        <v>0</v>
      </c>
      <c r="G109" s="1936">
        <f t="shared" si="122"/>
        <v>0.1</v>
      </c>
      <c r="H109" s="1936">
        <f t="shared" si="123"/>
        <v>0</v>
      </c>
      <c r="I109" s="1936"/>
      <c r="J109" s="1936"/>
      <c r="K109" s="1936">
        <f>IF(スコア!O109=0,0,1)</f>
        <v>1</v>
      </c>
      <c r="L109" s="1936">
        <f>IF(スコア!R109=0,0,1)</f>
        <v>0</v>
      </c>
      <c r="M109" s="1936">
        <f t="shared" si="124"/>
        <v>0.1</v>
      </c>
      <c r="N109" s="1936">
        <f t="shared" si="120"/>
        <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1398</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1398</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1398</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1398</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1398</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0.2</v>
      </c>
      <c r="E110" s="1936">
        <f t="shared" si="121"/>
        <v>0</v>
      </c>
      <c r="G110" s="1936">
        <f t="shared" si="122"/>
        <v>0.2</v>
      </c>
      <c r="H110" s="1936">
        <f t="shared" si="123"/>
        <v>0</v>
      </c>
      <c r="I110" s="1936"/>
      <c r="J110" s="1936"/>
      <c r="K110" s="1936">
        <f>IF(スコア!O110=0,0,1)</f>
        <v>1</v>
      </c>
      <c r="L110" s="1936">
        <f>IF(スコア!R110=0,0,1)</f>
        <v>0</v>
      </c>
      <c r="M110" s="1936">
        <f t="shared" si="124"/>
        <v>0.2</v>
      </c>
      <c r="N110" s="1936">
        <f t="shared" si="120"/>
        <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1399</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1399</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1399</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1399</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1399</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0.2</v>
      </c>
      <c r="E111" s="1936">
        <f t="shared" si="121"/>
        <v>0</v>
      </c>
      <c r="G111" s="1936">
        <f t="shared" si="122"/>
        <v>0.2</v>
      </c>
      <c r="H111" s="1936">
        <f t="shared" si="123"/>
        <v>0</v>
      </c>
      <c r="I111" s="1936"/>
      <c r="J111" s="1936"/>
      <c r="K111" s="1936">
        <f>IF(スコア!O111=0,0,1)</f>
        <v>1</v>
      </c>
      <c r="L111" s="1936">
        <f>IF(スコア!R111=0,0,1)</f>
        <v>0</v>
      </c>
      <c r="M111" s="1936">
        <f t="shared" si="124"/>
        <v>0.2</v>
      </c>
      <c r="N111" s="1936">
        <f t="shared" si="120"/>
        <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1400</v>
      </c>
      <c r="AH111" s="1941" t="s">
        <v>157</v>
      </c>
      <c r="AI111" s="1942" t="s">
        <v>1255</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1400</v>
      </c>
      <c r="AY111" s="1941" t="s">
        <v>157</v>
      </c>
      <c r="AZ111" s="1942" t="s">
        <v>2053</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1400</v>
      </c>
      <c r="BP111" s="1941" t="s">
        <v>157</v>
      </c>
      <c r="BQ111" s="1942" t="s">
        <v>1255</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1400</v>
      </c>
      <c r="CH111" s="1941" t="s">
        <v>157</v>
      </c>
      <c r="CI111" s="1942" t="s">
        <v>1255</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1400</v>
      </c>
      <c r="CY111" s="1941" t="s">
        <v>157</v>
      </c>
      <c r="CZ111" s="1942" t="s">
        <v>1255</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v>
      </c>
      <c r="E112" s="1918">
        <f>IF(J$8=0,0,H112/J$8)</f>
        <v>0</v>
      </c>
      <c r="G112" s="1918">
        <f t="shared" si="122"/>
        <v>0.3</v>
      </c>
      <c r="H112" s="1918">
        <f t="shared" si="123"/>
        <v>0</v>
      </c>
      <c r="I112" s="1918">
        <f>G113+G116+G117+G114</f>
        <v>1</v>
      </c>
      <c r="J112" s="1918">
        <f>H113+H116+H117+H114</f>
        <v>0</v>
      </c>
      <c r="K112" s="1918">
        <f>IF(スコア!T112=0,0,1)</f>
        <v>1</v>
      </c>
      <c r="L112" s="1918">
        <f>IF(スコア!R112=0,0,1)</f>
        <v>0</v>
      </c>
      <c r="M112" s="1918">
        <f t="shared" si="124"/>
        <v>0.3</v>
      </c>
      <c r="N112" s="1918">
        <f t="shared" si="120"/>
        <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1401</v>
      </c>
      <c r="AH112" s="1921" t="s">
        <v>952</v>
      </c>
      <c r="AI112" s="1919" t="s">
        <v>1402</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1401</v>
      </c>
      <c r="AY112" s="1921" t="s">
        <v>952</v>
      </c>
      <c r="AZ112" s="1919" t="s">
        <v>1402</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1401</v>
      </c>
      <c r="BP112" s="1921" t="s">
        <v>952</v>
      </c>
      <c r="BQ112" s="1919" t="s">
        <v>1402</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754</v>
      </c>
      <c r="CH112" s="1921" t="s">
        <v>952</v>
      </c>
      <c r="CI112" s="1919" t="s">
        <v>1402</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754</v>
      </c>
      <c r="CY112" s="1921" t="s">
        <v>952</v>
      </c>
      <c r="CZ112" s="1919" t="s">
        <v>1402</v>
      </c>
      <c r="DA112" s="2923">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2">
        <v>0</v>
      </c>
      <c r="DB113" s="2693"/>
      <c r="DC113" s="2693"/>
      <c r="DD113" s="2693"/>
      <c r="DE113" s="2693"/>
      <c r="DF113" s="2693"/>
      <c r="DG113" s="2693"/>
      <c r="DH113" s="2914"/>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3" t="s">
        <v>3484</v>
      </c>
      <c r="DA114" s="2932">
        <v>1</v>
      </c>
      <c r="DB114" s="2693"/>
      <c r="DC114" s="2693"/>
      <c r="DD114" s="2693"/>
      <c r="DE114" s="2693"/>
      <c r="DF114" s="2693"/>
      <c r="DG114" s="2693"/>
      <c r="DH114" s="2914"/>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1405</v>
      </c>
      <c r="CY115" s="1941" t="s">
        <v>165</v>
      </c>
      <c r="CZ115" s="2934" t="s">
        <v>3475</v>
      </c>
      <c r="DA115" s="2932">
        <v>1</v>
      </c>
      <c r="DB115" s="2693"/>
      <c r="DC115" s="2693"/>
      <c r="DD115" s="2693"/>
      <c r="DE115" s="2693"/>
      <c r="DF115" s="2693"/>
      <c r="DG115" s="2693"/>
      <c r="DH115" s="2914"/>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1403</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1403</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1403</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1403</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1403</v>
      </c>
      <c r="DA116" s="2932">
        <v>0</v>
      </c>
      <c r="DB116" s="2693"/>
      <c r="DC116" s="2693"/>
      <c r="DD116" s="2693"/>
      <c r="DE116" s="2693"/>
      <c r="DF116" s="2693"/>
      <c r="DG116" s="2693"/>
      <c r="DH116" s="2914"/>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1404</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1404</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1404</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1404</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1404</v>
      </c>
      <c r="DA117" s="2932">
        <v>0</v>
      </c>
      <c r="DB117" s="2693"/>
      <c r="DC117" s="2693"/>
      <c r="DD117" s="2693"/>
      <c r="DE117" s="2693"/>
      <c r="DF117" s="2693"/>
      <c r="DG117" s="2693"/>
      <c r="DH117" s="2914"/>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1405</v>
      </c>
      <c r="AH118" s="1941" t="s">
        <v>165</v>
      </c>
      <c r="AI118" s="1988" t="s">
        <v>1406</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1405</v>
      </c>
      <c r="AY118" s="1941" t="s">
        <v>165</v>
      </c>
      <c r="AZ118" s="1988" t="s">
        <v>1406</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1405</v>
      </c>
      <c r="BP118" s="1941" t="s">
        <v>165</v>
      </c>
      <c r="BQ118" s="1988" t="s">
        <v>1406</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1405</v>
      </c>
      <c r="CH118" s="1941" t="s">
        <v>165</v>
      </c>
      <c r="CI118" s="1988" t="s">
        <v>1406</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1405</v>
      </c>
      <c r="CY118" s="1941" t="s">
        <v>165</v>
      </c>
      <c r="CZ118" s="1988" t="s">
        <v>1406</v>
      </c>
      <c r="DA118" s="2935">
        <v>0</v>
      </c>
      <c r="DB118" s="2698"/>
      <c r="DC118" s="2698"/>
      <c r="DD118" s="2698"/>
      <c r="DE118" s="2698"/>
      <c r="DF118" s="2698"/>
      <c r="DG118" s="2698"/>
      <c r="DH118" s="2698"/>
      <c r="DI118" s="2698"/>
      <c r="DJ118" s="2698"/>
      <c r="DK118" s="2915"/>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1407</v>
      </c>
      <c r="AH119" s="1941" t="s">
        <v>165</v>
      </c>
      <c r="AI119" s="1988" t="s">
        <v>1408</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1407</v>
      </c>
      <c r="AY119" s="1941" t="s">
        <v>165</v>
      </c>
      <c r="AZ119" s="1988" t="s">
        <v>1408</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1407</v>
      </c>
      <c r="BP119" s="1941" t="s">
        <v>165</v>
      </c>
      <c r="BQ119" s="1988" t="s">
        <v>1408</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1407</v>
      </c>
      <c r="CH119" s="1941" t="s">
        <v>165</v>
      </c>
      <c r="CI119" s="1988" t="s">
        <v>1408</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1407</v>
      </c>
      <c r="CY119" s="1941" t="s">
        <v>165</v>
      </c>
      <c r="CZ119" s="1988" t="s">
        <v>1408</v>
      </c>
      <c r="DA119" s="2935">
        <v>0</v>
      </c>
      <c r="DB119" s="2698"/>
      <c r="DC119" s="2698"/>
      <c r="DD119" s="2698"/>
      <c r="DE119" s="2698"/>
      <c r="DF119" s="2698"/>
      <c r="DG119" s="2698"/>
      <c r="DH119" s="2698"/>
      <c r="DI119" s="2698"/>
      <c r="DJ119" s="2698"/>
      <c r="DK119" s="2915"/>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952</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952</v>
      </c>
      <c r="AZ120" s="1953"/>
      <c r="BA120" s="1932"/>
      <c r="BB120" s="1932"/>
      <c r="BC120" s="1932"/>
      <c r="BD120" s="1932"/>
      <c r="BE120" s="1932"/>
      <c r="BF120" s="1932"/>
      <c r="BG120" s="1932"/>
      <c r="BH120" s="1985"/>
      <c r="BI120" s="1932"/>
      <c r="BJ120" s="1932"/>
      <c r="BK120" s="1933"/>
      <c r="BL120" s="1932"/>
      <c r="BM120" s="1932"/>
      <c r="BO120" s="1927"/>
      <c r="BP120" s="1931" t="s">
        <v>952</v>
      </c>
      <c r="BQ120" s="1953"/>
      <c r="BR120" s="1932"/>
      <c r="BS120" s="1932"/>
      <c r="BT120" s="1932"/>
      <c r="BU120" s="1932"/>
      <c r="BV120" s="1932"/>
      <c r="BW120" s="1932"/>
      <c r="BX120" s="1932"/>
      <c r="BY120" s="1985"/>
      <c r="BZ120" s="1932"/>
      <c r="CA120" s="1932"/>
      <c r="CB120" s="1933"/>
      <c r="CC120" s="1932"/>
      <c r="CD120" s="1932"/>
      <c r="CE120" s="2271"/>
      <c r="CG120" s="1927"/>
      <c r="CH120" s="1931" t="s">
        <v>952</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952</v>
      </c>
      <c r="CZ120" s="1953"/>
      <c r="DA120" s="2693">
        <f t="shared" si="115"/>
        <v>0</v>
      </c>
      <c r="DB120" s="2693"/>
      <c r="DC120" s="2693"/>
      <c r="DD120" s="2693"/>
      <c r="DE120" s="2693"/>
      <c r="DF120" s="2693"/>
      <c r="DG120" s="2693"/>
      <c r="DH120" s="2914"/>
      <c r="DI120" s="2693"/>
      <c r="DJ120" s="2693"/>
      <c r="DK120" s="2694"/>
      <c r="DL120" s="2693"/>
      <c r="DM120" s="2693"/>
    </row>
    <row r="121" spans="1:117" ht="14.25">
      <c r="B121" s="1992" t="str">
        <f t="shared" si="125"/>
        <v>LR</v>
      </c>
      <c r="C121" s="2998" t="str">
        <f t="shared" si="93"/>
        <v>建築物の環境負荷低減性</v>
      </c>
      <c r="D121" s="1908"/>
      <c r="E121" s="1909"/>
      <c r="G121" s="1909" t="e">
        <f t="shared" si="122"/>
        <v>#VALUE!</v>
      </c>
      <c r="H121" s="1909">
        <f t="shared" si="123"/>
        <v>0</v>
      </c>
      <c r="I121" s="1909" t="e">
        <f>G122+G145+G172</f>
        <v>#VALUE!</v>
      </c>
      <c r="J121" s="1909">
        <f>H122+H145+H172</f>
        <v>0</v>
      </c>
      <c r="K121" s="1909" t="e">
        <f>IF(スコア!T121=0,0,1)</f>
        <v>#VALUE!</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1409</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1410</v>
      </c>
      <c r="AY121" s="1906" t="s">
        <v>166</v>
      </c>
      <c r="AZ121" s="1907" t="s">
        <v>167</v>
      </c>
      <c r="BA121" s="1912"/>
      <c r="BB121" s="1912"/>
      <c r="BC121" s="1912"/>
      <c r="BD121" s="1912"/>
      <c r="BE121" s="1912"/>
      <c r="BF121" s="1912"/>
      <c r="BG121" s="1912"/>
      <c r="BH121" s="1913"/>
      <c r="BI121" s="1912"/>
      <c r="BJ121" s="1912"/>
      <c r="BK121" s="1914"/>
      <c r="BL121" s="1915"/>
      <c r="BM121" s="1915"/>
      <c r="BO121" s="1910" t="s">
        <v>1410</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1409</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1409</v>
      </c>
      <c r="CY121" s="1906" t="s">
        <v>166</v>
      </c>
      <c r="CZ121" s="1907" t="s">
        <v>167</v>
      </c>
      <c r="DA121" s="2916">
        <f t="shared" si="115"/>
        <v>0</v>
      </c>
      <c r="DB121" s="2916"/>
      <c r="DC121" s="2916"/>
      <c r="DD121" s="2916"/>
      <c r="DE121" s="2916"/>
      <c r="DF121" s="2916"/>
      <c r="DG121" s="2916"/>
      <c r="DH121" s="2917"/>
      <c r="DI121" s="2916"/>
      <c r="DJ121" s="2916"/>
      <c r="DK121" s="2918"/>
      <c r="DL121" s="2919"/>
      <c r="DM121" s="2919"/>
    </row>
    <row r="122" spans="1:117">
      <c r="B122" s="1916" t="str">
        <f t="shared" si="125"/>
        <v>LR1</v>
      </c>
      <c r="C122" s="1919" t="str">
        <f t="shared" si="93"/>
        <v>エネルギー</v>
      </c>
      <c r="D122" s="1994" t="e">
        <f>IF(I$121=0,0,G122/I$121)</f>
        <v>#VALUE!</v>
      </c>
      <c r="E122" s="1918">
        <f>IF(J$121=0,0,H122/J$121)</f>
        <v>0</v>
      </c>
      <c r="G122" s="1918">
        <f t="shared" si="122"/>
        <v>0.4</v>
      </c>
      <c r="H122" s="1918">
        <f t="shared" si="123"/>
        <v>0</v>
      </c>
      <c r="I122" s="1918">
        <f>G123+G124+G129+G138</f>
        <v>0.8</v>
      </c>
      <c r="J122" s="1918">
        <f>H123+H124+H129+H138</f>
        <v>0</v>
      </c>
      <c r="K122" s="1918">
        <f>IF(スコア!T122=0,0,1)</f>
        <v>1</v>
      </c>
      <c r="L122" s="1918">
        <f>IF(スコア!R122=0,0,1)</f>
        <v>0</v>
      </c>
      <c r="M122" s="1918">
        <f t="shared" si="124"/>
        <v>0.4</v>
      </c>
      <c r="N122" s="1918">
        <f t="shared" si="132"/>
        <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1411</v>
      </c>
      <c r="AH122" s="1921" t="s">
        <v>1412</v>
      </c>
      <c r="AI122" s="1919" t="s">
        <v>1413</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1411</v>
      </c>
      <c r="AY122" s="1921" t="s">
        <v>1412</v>
      </c>
      <c r="AZ122" s="1919" t="s">
        <v>1413</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1411</v>
      </c>
      <c r="BP122" s="1921" t="s">
        <v>1412</v>
      </c>
      <c r="BQ122" s="1919" t="s">
        <v>1413</v>
      </c>
      <c r="BR122" s="1922">
        <v>0.4</v>
      </c>
      <c r="BS122" s="1922">
        <v>0.4</v>
      </c>
      <c r="BT122" s="1922">
        <v>0.4</v>
      </c>
      <c r="BU122" s="1922">
        <v>0.4</v>
      </c>
      <c r="BV122" s="1922">
        <v>0.4</v>
      </c>
      <c r="BW122" s="1922">
        <v>0.4</v>
      </c>
      <c r="BX122" s="1922">
        <v>0.4</v>
      </c>
      <c r="BY122" s="1922">
        <v>0.4</v>
      </c>
      <c r="BZ122" s="3051">
        <v>0.4</v>
      </c>
      <c r="CA122" s="1922">
        <v>0.4</v>
      </c>
      <c r="CB122" s="1923"/>
      <c r="CC122" s="1922"/>
      <c r="CD122" s="1922"/>
      <c r="CE122" s="2270"/>
      <c r="CG122" s="1916" t="s">
        <v>1262</v>
      </c>
      <c r="CH122" s="1921" t="s">
        <v>1412</v>
      </c>
      <c r="CI122" s="1919" t="s">
        <v>1263</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1262</v>
      </c>
      <c r="CY122" s="1921" t="s">
        <v>1412</v>
      </c>
      <c r="CZ122" s="1919" t="s">
        <v>1263</v>
      </c>
      <c r="DA122" s="2923">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f>IF(I$122=0,0,G123/I$122)</f>
        <v>0</v>
      </c>
      <c r="E123" s="1925">
        <f>IF(J$122=0,0,H123/J$122)</f>
        <v>0</v>
      </c>
      <c r="G123" s="1925">
        <f t="shared" si="122"/>
        <v>0</v>
      </c>
      <c r="H123" s="1925">
        <f t="shared" si="123"/>
        <v>0</v>
      </c>
      <c r="I123" s="1925"/>
      <c r="J123" s="1925"/>
      <c r="K123" s="1925">
        <f>IF(スコア!O123=0,0,1)</f>
        <v>0</v>
      </c>
      <c r="L123" s="1925">
        <f>IF(スコア!R123=0,0,1)</f>
        <v>0</v>
      </c>
      <c r="M123" s="1925">
        <f t="shared" si="124"/>
        <v>0.2</v>
      </c>
      <c r="N123" s="1925">
        <f t="shared" si="132"/>
        <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0.2</v>
      </c>
      <c r="AB123" s="2808">
        <f t="shared" si="83"/>
        <v>0.2</v>
      </c>
      <c r="AC123" s="2798">
        <f t="shared" si="84"/>
        <v>0</v>
      </c>
      <c r="AD123" s="2796">
        <f t="shared" si="85"/>
        <v>0</v>
      </c>
      <c r="AE123" s="2796">
        <f t="shared" si="86"/>
        <v>0</v>
      </c>
      <c r="AG123" s="1995">
        <v>1</v>
      </c>
      <c r="AH123" s="1931" t="s">
        <v>1779</v>
      </c>
      <c r="AI123" s="1928" t="s">
        <v>2182</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1779</v>
      </c>
      <c r="AZ123" s="1928" t="s">
        <v>2182</v>
      </c>
      <c r="BA123" s="1980">
        <v>0.2</v>
      </c>
      <c r="BB123" s="1980">
        <v>0.2</v>
      </c>
      <c r="BC123" s="1980">
        <v>0.2</v>
      </c>
      <c r="BD123" s="1980">
        <v>0.2</v>
      </c>
      <c r="BE123" s="1980">
        <v>0.2</v>
      </c>
      <c r="BF123" s="1980">
        <v>0.2</v>
      </c>
      <c r="BG123" s="1980">
        <v>0.2</v>
      </c>
      <c r="BH123" s="1980">
        <v>0.2</v>
      </c>
      <c r="BI123" s="1980">
        <v>0.2</v>
      </c>
      <c r="BJ123" s="1980">
        <v>0.2</v>
      </c>
      <c r="BK123" s="1933"/>
      <c r="BL123" s="1932"/>
      <c r="BM123" s="1932"/>
      <c r="BO123" s="1995">
        <v>1</v>
      </c>
      <c r="BP123" s="1931" t="s">
        <v>1779</v>
      </c>
      <c r="BQ123" s="1928" t="s">
        <v>2182</v>
      </c>
      <c r="BR123" s="1980">
        <v>0.2</v>
      </c>
      <c r="BS123" s="1980">
        <v>0.2</v>
      </c>
      <c r="BT123" s="1980">
        <v>0.2</v>
      </c>
      <c r="BU123" s="1980">
        <v>0.2</v>
      </c>
      <c r="BV123" s="1980">
        <v>0.2</v>
      </c>
      <c r="BW123" s="1980">
        <v>0.2</v>
      </c>
      <c r="BX123" s="1980">
        <v>0.2</v>
      </c>
      <c r="BY123" s="1980">
        <v>0.2</v>
      </c>
      <c r="BZ123" s="3051">
        <v>0.2</v>
      </c>
      <c r="CA123" s="1980">
        <v>0.2</v>
      </c>
      <c r="CB123" s="1933"/>
      <c r="CC123" s="1932"/>
      <c r="CD123" s="1932"/>
      <c r="CE123" s="2271"/>
      <c r="CG123" s="1995">
        <v>1</v>
      </c>
      <c r="CH123" s="1931" t="s">
        <v>1779</v>
      </c>
      <c r="CI123" s="1928" t="s">
        <v>2182</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0.2</v>
      </c>
      <c r="CS123" s="2716">
        <f t="shared" si="110"/>
        <v>0.2</v>
      </c>
      <c r="CT123" s="2705">
        <f t="shared" si="111"/>
        <v>0</v>
      </c>
      <c r="CU123" s="2703">
        <f t="shared" si="112"/>
        <v>0</v>
      </c>
      <c r="CV123" s="2703">
        <f t="shared" si="113"/>
        <v>0</v>
      </c>
      <c r="CX123" s="1995">
        <v>1</v>
      </c>
      <c r="CY123" s="1931" t="s">
        <v>1779</v>
      </c>
      <c r="CZ123" s="1928" t="s">
        <v>2182</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f>IF(I$122=0,0,G124/I$122)</f>
        <v>0.125</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v>
      </c>
      <c r="AB124" s="2808">
        <f t="shared" si="83"/>
        <v>0.1</v>
      </c>
      <c r="AC124" s="2798">
        <f t="shared" si="84"/>
        <v>0</v>
      </c>
      <c r="AD124" s="2796">
        <f t="shared" si="85"/>
        <v>0</v>
      </c>
      <c r="AE124" s="2796">
        <f t="shared" si="86"/>
        <v>0</v>
      </c>
      <c r="AG124" s="1927">
        <v>2</v>
      </c>
      <c r="AH124" s="1931" t="s">
        <v>1779</v>
      </c>
      <c r="AI124" s="1928" t="s">
        <v>1264</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1779</v>
      </c>
      <c r="AZ124" s="1928" t="s">
        <v>1264</v>
      </c>
      <c r="BA124" s="1980">
        <v>0.1</v>
      </c>
      <c r="BB124" s="1980">
        <v>0.1</v>
      </c>
      <c r="BC124" s="1980">
        <v>0.1</v>
      </c>
      <c r="BD124" s="1980">
        <v>0.1</v>
      </c>
      <c r="BE124" s="1980">
        <v>0.1</v>
      </c>
      <c r="BF124" s="1980">
        <v>0.1</v>
      </c>
      <c r="BG124" s="1980">
        <v>0.1</v>
      </c>
      <c r="BH124" s="1980">
        <v>0.1</v>
      </c>
      <c r="BI124" s="1980">
        <v>0.1</v>
      </c>
      <c r="BJ124" s="1980">
        <v>0.1</v>
      </c>
      <c r="BK124" s="1933"/>
      <c r="BL124" s="1932"/>
      <c r="BM124" s="1932"/>
      <c r="BO124" s="1927">
        <v>2</v>
      </c>
      <c r="BP124" s="1931" t="s">
        <v>1779</v>
      </c>
      <c r="BQ124" s="1928" t="s">
        <v>1264</v>
      </c>
      <c r="BR124" s="1980">
        <v>0.1</v>
      </c>
      <c r="BS124" s="1980">
        <v>0.1</v>
      </c>
      <c r="BT124" s="1980">
        <v>0.1</v>
      </c>
      <c r="BU124" s="1980">
        <v>0.1</v>
      </c>
      <c r="BV124" s="1980">
        <v>0.1</v>
      </c>
      <c r="BW124" s="1980">
        <v>0.1</v>
      </c>
      <c r="BX124" s="1980">
        <v>0.1</v>
      </c>
      <c r="BY124" s="1980">
        <v>0.1</v>
      </c>
      <c r="BZ124" s="3051">
        <v>0.1</v>
      </c>
      <c r="CA124" s="1980">
        <v>0.1</v>
      </c>
      <c r="CB124" s="1933"/>
      <c r="CC124" s="1932"/>
      <c r="CD124" s="1932"/>
      <c r="CE124" s="2271"/>
      <c r="CG124" s="1927">
        <v>2</v>
      </c>
      <c r="CH124" s="1931" t="s">
        <v>1779</v>
      </c>
      <c r="CI124" s="1928" t="s">
        <v>1264</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v>
      </c>
      <c r="CS124" s="2716">
        <f t="shared" si="110"/>
        <v>0.1</v>
      </c>
      <c r="CT124" s="2705">
        <f t="shared" si="111"/>
        <v>0</v>
      </c>
      <c r="CU124" s="2703">
        <f t="shared" si="112"/>
        <v>0</v>
      </c>
      <c r="CV124" s="2703">
        <f t="shared" si="113"/>
        <v>0</v>
      </c>
      <c r="CX124" s="1927">
        <v>2</v>
      </c>
      <c r="CY124" s="1931" t="s">
        <v>1779</v>
      </c>
      <c r="CZ124" s="1928" t="s">
        <v>1264</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1265</v>
      </c>
      <c r="AJ125" s="1980"/>
      <c r="AK125" s="1980"/>
      <c r="AL125" s="1980"/>
      <c r="AM125" s="1980"/>
      <c r="AN125" s="1980"/>
      <c r="AO125" s="1980"/>
      <c r="AP125" s="1980"/>
      <c r="AQ125" s="1980"/>
      <c r="AR125" s="1980"/>
      <c r="AS125" s="1980"/>
      <c r="AT125" s="1933"/>
      <c r="AU125" s="1932"/>
      <c r="AV125" s="1932"/>
      <c r="AX125" s="1927"/>
      <c r="AY125" s="1931" t="s">
        <v>168</v>
      </c>
      <c r="AZ125" s="1928" t="s">
        <v>1016</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3051"/>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1266</v>
      </c>
      <c r="AJ126" s="1980"/>
      <c r="AK126" s="1980"/>
      <c r="AL126" s="1980"/>
      <c r="AM126" s="1980"/>
      <c r="AN126" s="1980"/>
      <c r="AO126" s="1980"/>
      <c r="AP126" s="1980"/>
      <c r="AQ126" s="1980"/>
      <c r="AR126" s="1980"/>
      <c r="AS126" s="1980"/>
      <c r="AT126" s="1933"/>
      <c r="AU126" s="1932"/>
      <c r="AV126" s="1932"/>
      <c r="AX126" s="1927"/>
      <c r="AY126" s="1931" t="s">
        <v>168</v>
      </c>
      <c r="AZ126" s="1928" t="s">
        <v>1015</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3051"/>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1414</v>
      </c>
      <c r="AH127" s="1941" t="s">
        <v>169</v>
      </c>
      <c r="AI127" s="1938" t="s">
        <v>1267</v>
      </c>
      <c r="AJ127" s="1944"/>
      <c r="AK127" s="1944"/>
      <c r="AL127" s="1944"/>
      <c r="AM127" s="1944"/>
      <c r="AN127" s="1944"/>
      <c r="AO127" s="1944"/>
      <c r="AP127" s="1944"/>
      <c r="AQ127" s="1944"/>
      <c r="AR127" s="1944"/>
      <c r="AS127" s="1944"/>
      <c r="AT127" s="1991"/>
      <c r="AU127" s="1990"/>
      <c r="AV127" s="1990"/>
      <c r="AX127" s="1937" t="s">
        <v>1414</v>
      </c>
      <c r="AY127" s="1941" t="s">
        <v>169</v>
      </c>
      <c r="AZ127" s="1938" t="s">
        <v>1267</v>
      </c>
      <c r="BA127" s="1944"/>
      <c r="BB127" s="1944"/>
      <c r="BC127" s="1944"/>
      <c r="BD127" s="1944"/>
      <c r="BE127" s="1944"/>
      <c r="BF127" s="1944"/>
      <c r="BG127" s="1944"/>
      <c r="BH127" s="1944"/>
      <c r="BI127" s="1944"/>
      <c r="BJ127" s="1944"/>
      <c r="BK127" s="1991"/>
      <c r="BL127" s="1990"/>
      <c r="BM127" s="1990"/>
      <c r="BO127" s="1937" t="s">
        <v>1414</v>
      </c>
      <c r="BP127" s="1941" t="s">
        <v>169</v>
      </c>
      <c r="BQ127" s="1938"/>
      <c r="BR127" s="1944"/>
      <c r="BS127" s="1944"/>
      <c r="BT127" s="1944"/>
      <c r="BU127" s="1944"/>
      <c r="BV127" s="1944"/>
      <c r="BW127" s="1944"/>
      <c r="BX127" s="1944"/>
      <c r="BY127" s="1944"/>
      <c r="BZ127" s="3052"/>
      <c r="CA127" s="1944"/>
      <c r="CB127" s="1991"/>
      <c r="CC127" s="1990"/>
      <c r="CD127" s="1990"/>
      <c r="CE127" s="2275"/>
      <c r="CG127" s="1937" t="s">
        <v>1414</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1414</v>
      </c>
      <c r="CY127" s="1941" t="s">
        <v>169</v>
      </c>
      <c r="CZ127" s="1938"/>
      <c r="DA127" s="2695">
        <f t="shared" si="115"/>
        <v>0</v>
      </c>
      <c r="DB127" s="2695"/>
      <c r="DC127" s="2695"/>
      <c r="DD127" s="2695"/>
      <c r="DE127" s="2695"/>
      <c r="DF127" s="2695"/>
      <c r="DG127" s="2695"/>
      <c r="DH127" s="2695"/>
      <c r="DI127" s="2695"/>
      <c r="DJ127" s="2695"/>
      <c r="DK127" s="2915"/>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1415</v>
      </c>
      <c r="AH128" s="1941" t="s">
        <v>169</v>
      </c>
      <c r="AI128" s="1938" t="s">
        <v>1268</v>
      </c>
      <c r="AJ128" s="1944"/>
      <c r="AK128" s="1944"/>
      <c r="AL128" s="1944"/>
      <c r="AM128" s="1944"/>
      <c r="AN128" s="1944"/>
      <c r="AO128" s="1944"/>
      <c r="AP128" s="1944"/>
      <c r="AQ128" s="1944"/>
      <c r="AR128" s="1944"/>
      <c r="AS128" s="1944"/>
      <c r="AT128" s="1991"/>
      <c r="AU128" s="1990"/>
      <c r="AV128" s="1990"/>
      <c r="AX128" s="1937" t="s">
        <v>1415</v>
      </c>
      <c r="AY128" s="1941" t="s">
        <v>169</v>
      </c>
      <c r="AZ128" s="1938" t="s">
        <v>1268</v>
      </c>
      <c r="BA128" s="1944"/>
      <c r="BB128" s="1944"/>
      <c r="BC128" s="1944"/>
      <c r="BD128" s="1944"/>
      <c r="BE128" s="1944"/>
      <c r="BF128" s="1944"/>
      <c r="BG128" s="1944"/>
      <c r="BH128" s="1944"/>
      <c r="BI128" s="1944"/>
      <c r="BJ128" s="1944"/>
      <c r="BK128" s="1991"/>
      <c r="BL128" s="1990"/>
      <c r="BM128" s="1990"/>
      <c r="BO128" s="1937" t="s">
        <v>1415</v>
      </c>
      <c r="BP128" s="1941" t="s">
        <v>169</v>
      </c>
      <c r="BQ128" s="1938"/>
      <c r="BR128" s="1944"/>
      <c r="BS128" s="1944"/>
      <c r="BT128" s="1944"/>
      <c r="BU128" s="1944"/>
      <c r="BV128" s="1944"/>
      <c r="BW128" s="1944"/>
      <c r="BX128" s="1944"/>
      <c r="BY128" s="1944"/>
      <c r="BZ128" s="3052"/>
      <c r="CA128" s="1944"/>
      <c r="CB128" s="1991"/>
      <c r="CC128" s="1990"/>
      <c r="CD128" s="1990"/>
      <c r="CE128" s="2275"/>
      <c r="CG128" s="1937" t="s">
        <v>1415</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1415</v>
      </c>
      <c r="CY128" s="1941" t="s">
        <v>169</v>
      </c>
      <c r="CZ128" s="1938"/>
      <c r="DA128" s="2695">
        <f t="shared" si="115"/>
        <v>0</v>
      </c>
      <c r="DB128" s="2695"/>
      <c r="DC128" s="2695"/>
      <c r="DD128" s="2695"/>
      <c r="DE128" s="2695"/>
      <c r="DF128" s="2695"/>
      <c r="DG128" s="2695"/>
      <c r="DH128" s="2695"/>
      <c r="DI128" s="2695"/>
      <c r="DJ128" s="2695"/>
      <c r="DK128" s="2915"/>
      <c r="DL128" s="2698"/>
      <c r="DM128" s="2698"/>
    </row>
    <row r="129" spans="2:117">
      <c r="B129" s="1916">
        <f t="shared" si="125"/>
        <v>3</v>
      </c>
      <c r="C129" s="1928" t="str">
        <f t="shared" si="93"/>
        <v>設備システムの高効率化</v>
      </c>
      <c r="D129" s="1924">
        <f>IF(I$122=0,0,G129/I$122)</f>
        <v>0.625</v>
      </c>
      <c r="E129" s="1925">
        <f>IF(J$122=0,0,H129/J$122)</f>
        <v>0</v>
      </c>
      <c r="G129" s="1925">
        <f t="shared" si="122"/>
        <v>0.5</v>
      </c>
      <c r="H129" s="1925">
        <f t="shared" si="123"/>
        <v>0</v>
      </c>
      <c r="I129" s="1996">
        <f>SUM(G130:G131)</f>
        <v>0</v>
      </c>
      <c r="J129" s="1996">
        <f>SUM(H130:H131)</f>
        <v>0</v>
      </c>
      <c r="K129" s="1925">
        <f>IF(スコア!O129=0,0,1)</f>
        <v>1</v>
      </c>
      <c r="L129" s="1925">
        <f>IF(スコア!R129=0,0,1)</f>
        <v>0</v>
      </c>
      <c r="M129" s="1925">
        <f t="shared" si="124"/>
        <v>0.5</v>
      </c>
      <c r="N129" s="1925">
        <f t="shared" si="132"/>
        <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0.5</v>
      </c>
      <c r="AB129" s="2808">
        <f t="shared" si="142"/>
        <v>0.5</v>
      </c>
      <c r="AC129" s="2798">
        <f t="shared" si="143"/>
        <v>0</v>
      </c>
      <c r="AD129" s="2796">
        <f t="shared" si="144"/>
        <v>0</v>
      </c>
      <c r="AE129" s="2796">
        <f t="shared" si="145"/>
        <v>0</v>
      </c>
      <c r="AG129" s="1927">
        <v>3</v>
      </c>
      <c r="AH129" s="1931" t="s">
        <v>1779</v>
      </c>
      <c r="AI129" s="1928" t="s">
        <v>1269</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1779</v>
      </c>
      <c r="AZ129" s="1928" t="s">
        <v>1269</v>
      </c>
      <c r="BA129" s="1980">
        <v>0.5</v>
      </c>
      <c r="BB129" s="1980">
        <v>0.5</v>
      </c>
      <c r="BC129" s="1980">
        <v>0.5</v>
      </c>
      <c r="BD129" s="1980">
        <v>0.5</v>
      </c>
      <c r="BE129" s="1980">
        <v>0.5</v>
      </c>
      <c r="BF129" s="1980">
        <v>0.5</v>
      </c>
      <c r="BG129" s="1980">
        <v>0.5</v>
      </c>
      <c r="BH129" s="1980">
        <v>0.5</v>
      </c>
      <c r="BI129" s="1980">
        <v>0.5</v>
      </c>
      <c r="BJ129" s="1980">
        <v>0.5</v>
      </c>
      <c r="BK129" s="1933"/>
      <c r="BL129" s="1932"/>
      <c r="BM129" s="1932"/>
      <c r="BO129" s="1927">
        <v>3</v>
      </c>
      <c r="BP129" s="1931" t="s">
        <v>1779</v>
      </c>
      <c r="BQ129" s="1928" t="s">
        <v>1269</v>
      </c>
      <c r="BR129" s="1980">
        <v>0.5</v>
      </c>
      <c r="BS129" s="1980">
        <v>0.5</v>
      </c>
      <c r="BT129" s="1980">
        <v>0.5</v>
      </c>
      <c r="BU129" s="1980">
        <v>0.5</v>
      </c>
      <c r="BV129" s="1980">
        <v>0.5</v>
      </c>
      <c r="BW129" s="1980">
        <v>0.5</v>
      </c>
      <c r="BX129" s="1980">
        <v>0.5</v>
      </c>
      <c r="BY129" s="1980">
        <v>0.5</v>
      </c>
      <c r="BZ129" s="3051">
        <v>0.5</v>
      </c>
      <c r="CA129" s="1980">
        <v>0.5</v>
      </c>
      <c r="CB129" s="1933"/>
      <c r="CC129" s="1932"/>
      <c r="CD129" s="1932"/>
      <c r="CE129" s="2271"/>
      <c r="CG129" s="1927">
        <v>3</v>
      </c>
      <c r="CH129" s="1931" t="s">
        <v>1779</v>
      </c>
      <c r="CI129" s="1928" t="s">
        <v>1269</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0.5</v>
      </c>
      <c r="CS129" s="2716">
        <f t="shared" si="110"/>
        <v>0.5</v>
      </c>
      <c r="CT129" s="2705">
        <f t="shared" si="111"/>
        <v>0</v>
      </c>
      <c r="CU129" s="2703">
        <f t="shared" si="112"/>
        <v>0</v>
      </c>
      <c r="CV129" s="2703">
        <f t="shared" si="113"/>
        <v>0</v>
      </c>
      <c r="CX129" s="1927">
        <v>3</v>
      </c>
      <c r="CY129" s="1931" t="s">
        <v>1779</v>
      </c>
      <c r="CZ129" s="1928" t="s">
        <v>1269</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1416</v>
      </c>
      <c r="AH130" s="1931" t="s">
        <v>1417</v>
      </c>
      <c r="AI130" s="1928" t="s">
        <v>170</v>
      </c>
      <c r="AJ130" s="2052"/>
      <c r="AK130" s="2052"/>
      <c r="AL130" s="2052"/>
      <c r="AM130" s="2052"/>
      <c r="AN130" s="2052"/>
      <c r="AO130" s="2052"/>
      <c r="AP130" s="2053"/>
      <c r="AQ130" s="2052"/>
      <c r="AR130" s="2052"/>
      <c r="AS130" s="2053"/>
      <c r="AT130" s="1933"/>
      <c r="AU130" s="1932"/>
      <c r="AV130" s="1932"/>
      <c r="AX130" s="1927" t="s">
        <v>1416</v>
      </c>
      <c r="AY130" s="1931" t="s">
        <v>1417</v>
      </c>
      <c r="AZ130" s="1928" t="s">
        <v>1024</v>
      </c>
      <c r="BA130" s="2053">
        <v>1</v>
      </c>
      <c r="BB130" s="2053">
        <v>1</v>
      </c>
      <c r="BC130" s="2053">
        <v>1</v>
      </c>
      <c r="BD130" s="2053">
        <v>1</v>
      </c>
      <c r="BE130" s="2053">
        <v>1</v>
      </c>
      <c r="BF130" s="2053">
        <v>1</v>
      </c>
      <c r="BG130" s="2053"/>
      <c r="BH130" s="2053">
        <v>1</v>
      </c>
      <c r="BI130" s="2053">
        <v>1</v>
      </c>
      <c r="BJ130" s="2053">
        <v>1</v>
      </c>
      <c r="BK130" s="1933"/>
      <c r="BL130" s="1932"/>
      <c r="BM130" s="1932"/>
      <c r="BO130" s="1927" t="s">
        <v>2934</v>
      </c>
      <c r="BP130" s="1931" t="s">
        <v>1417</v>
      </c>
      <c r="BQ130" s="1928" t="s">
        <v>1024</v>
      </c>
      <c r="BR130" s="2053">
        <v>1</v>
      </c>
      <c r="BS130" s="2053">
        <v>1</v>
      </c>
      <c r="BT130" s="2053">
        <v>1</v>
      </c>
      <c r="BU130" s="2053">
        <v>1</v>
      </c>
      <c r="BV130" s="2053">
        <v>1</v>
      </c>
      <c r="BW130" s="2053">
        <v>1</v>
      </c>
      <c r="BX130" s="2053"/>
      <c r="BY130" s="2053">
        <v>1</v>
      </c>
      <c r="BZ130" s="3053">
        <v>1</v>
      </c>
      <c r="CA130" s="2053">
        <v>1</v>
      </c>
      <c r="CB130" s="1933"/>
      <c r="CC130" s="1932"/>
      <c r="CD130" s="1932"/>
      <c r="CE130" s="2271"/>
      <c r="CG130" s="1927" t="s">
        <v>2934</v>
      </c>
      <c r="CH130" s="1931" t="s">
        <v>1417</v>
      </c>
      <c r="CI130" s="1928" t="s">
        <v>1024</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2934</v>
      </c>
      <c r="CY130" s="1931" t="s">
        <v>1417</v>
      </c>
      <c r="CZ130" s="1928" t="s">
        <v>1024</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1937</v>
      </c>
      <c r="AH131" s="1931" t="s">
        <v>1417</v>
      </c>
      <c r="AI131" s="1928" t="s">
        <v>171</v>
      </c>
      <c r="AJ131" s="2054"/>
      <c r="AK131" s="2054"/>
      <c r="AL131" s="2054"/>
      <c r="AM131" s="2054"/>
      <c r="AN131" s="2054"/>
      <c r="AO131" s="2054"/>
      <c r="AP131" s="2053"/>
      <c r="AQ131" s="2054"/>
      <c r="AR131" s="2054"/>
      <c r="AS131" s="2053"/>
      <c r="AT131" s="1933"/>
      <c r="AU131" s="1932"/>
      <c r="AV131" s="1932"/>
      <c r="AX131" s="1927" t="s">
        <v>1937</v>
      </c>
      <c r="AY131" s="1931" t="s">
        <v>1417</v>
      </c>
      <c r="AZ131" s="1928" t="s">
        <v>1604</v>
      </c>
      <c r="BA131" s="2054"/>
      <c r="BB131" s="2054"/>
      <c r="BC131" s="2054"/>
      <c r="BD131" s="2054"/>
      <c r="BE131" s="2054"/>
      <c r="BF131" s="2054"/>
      <c r="BG131" s="2053">
        <v>1</v>
      </c>
      <c r="BH131" s="2054"/>
      <c r="BI131" s="2054"/>
      <c r="BJ131" s="2053"/>
      <c r="BK131" s="1933"/>
      <c r="BL131" s="1932"/>
      <c r="BM131" s="1932"/>
      <c r="BO131" s="1927" t="s">
        <v>2935</v>
      </c>
      <c r="BP131" s="1931" t="s">
        <v>1417</v>
      </c>
      <c r="BQ131" s="1928" t="s">
        <v>1604</v>
      </c>
      <c r="BR131" s="2054"/>
      <c r="BS131" s="2054"/>
      <c r="BT131" s="2054"/>
      <c r="BU131" s="2054"/>
      <c r="BV131" s="2054"/>
      <c r="BW131" s="2054"/>
      <c r="BX131" s="2053">
        <v>1</v>
      </c>
      <c r="BY131" s="2054"/>
      <c r="BZ131" s="3054"/>
      <c r="CA131" s="2053"/>
      <c r="CB131" s="1933"/>
      <c r="CC131" s="1932"/>
      <c r="CD131" s="1932"/>
      <c r="CE131" s="2271"/>
      <c r="CG131" s="1927" t="s">
        <v>2935</v>
      </c>
      <c r="CH131" s="1931" t="s">
        <v>1417</v>
      </c>
      <c r="CI131" s="1928" t="s">
        <v>1604</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2935</v>
      </c>
      <c r="CY131" s="1931" t="s">
        <v>1417</v>
      </c>
      <c r="CZ131" s="1928" t="s">
        <v>1604</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1418</v>
      </c>
      <c r="AI132" s="1938" t="s">
        <v>1270</v>
      </c>
      <c r="AJ132" s="1944"/>
      <c r="AK132" s="1944"/>
      <c r="AL132" s="1944"/>
      <c r="AM132" s="1944"/>
      <c r="AN132" s="1944"/>
      <c r="AO132" s="1944"/>
      <c r="AP132" s="1944"/>
      <c r="AQ132" s="1951"/>
      <c r="AR132" s="1944"/>
      <c r="AS132" s="2125">
        <v>0.65</v>
      </c>
      <c r="AT132" s="1945"/>
      <c r="AU132" s="1944"/>
      <c r="AV132" s="1944"/>
      <c r="AX132" s="1937">
        <v>3.1</v>
      </c>
      <c r="AY132" s="1941" t="s">
        <v>1418</v>
      </c>
      <c r="AZ132" s="1938" t="s">
        <v>1270</v>
      </c>
      <c r="BA132" s="1944"/>
      <c r="BB132" s="1944"/>
      <c r="BC132" s="1944"/>
      <c r="BD132" s="1944"/>
      <c r="BE132" s="1944"/>
      <c r="BF132" s="1944"/>
      <c r="BG132" s="1944"/>
      <c r="BH132" s="1951"/>
      <c r="BI132" s="1944"/>
      <c r="BJ132" s="2125">
        <v>0.65</v>
      </c>
      <c r="BK132" s="1945"/>
      <c r="BL132" s="1944"/>
      <c r="BM132" s="1944"/>
      <c r="BO132" s="1937">
        <v>3.1</v>
      </c>
      <c r="BP132" s="1941" t="s">
        <v>1418</v>
      </c>
      <c r="BQ132" s="1938" t="s">
        <v>1270</v>
      </c>
      <c r="BR132" s="1944"/>
      <c r="BS132" s="1944"/>
      <c r="BT132" s="1944"/>
      <c r="BU132" s="1944"/>
      <c r="BV132" s="1944"/>
      <c r="BW132" s="1944"/>
      <c r="BX132" s="1944"/>
      <c r="BY132" s="1951"/>
      <c r="BZ132" s="3052"/>
      <c r="CA132" s="1944"/>
      <c r="CB132" s="1945"/>
      <c r="CC132" s="1944"/>
      <c r="CD132" s="1944"/>
      <c r="CE132" s="2272"/>
      <c r="CF132">
        <f>ROWS($CF$5:CF131)</f>
        <v>127</v>
      </c>
      <c r="CG132" s="1937">
        <v>3.1</v>
      </c>
      <c r="CH132" s="1941" t="s">
        <v>1418</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1418</v>
      </c>
      <c r="CZ132" s="1938"/>
      <c r="DA132" s="2695">
        <f t="shared" si="115"/>
        <v>0</v>
      </c>
      <c r="DB132" s="2695"/>
      <c r="DC132" s="2695"/>
      <c r="DD132" s="2695"/>
      <c r="DE132" s="2695"/>
      <c r="DF132" s="2695"/>
      <c r="DG132" s="2695"/>
      <c r="DH132" s="2778"/>
      <c r="DI132" s="2695"/>
      <c r="DJ132" s="2695"/>
      <c r="DK132" s="2905"/>
      <c r="DL132" s="2695"/>
      <c r="DM132" s="2695"/>
    </row>
    <row r="133" spans="2:117" hidden="1">
      <c r="B133" s="1916">
        <f t="shared" si="125"/>
        <v>3.2</v>
      </c>
      <c r="C133" s="1938" t="str">
        <f t="shared" si="93"/>
        <v>換気設備</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1418</v>
      </c>
      <c r="AI133" s="1938" t="s">
        <v>1271</v>
      </c>
      <c r="AJ133" s="1944"/>
      <c r="AK133" s="1944"/>
      <c r="AL133" s="1944"/>
      <c r="AM133" s="1944"/>
      <c r="AN133" s="1944"/>
      <c r="AO133" s="1944"/>
      <c r="AP133" s="1944"/>
      <c r="AQ133" s="1951"/>
      <c r="AR133" s="1944"/>
      <c r="AS133" s="2125">
        <v>0.1</v>
      </c>
      <c r="AT133" s="1945"/>
      <c r="AU133" s="1944"/>
      <c r="AV133" s="1944"/>
      <c r="AX133" s="1937">
        <v>3.2</v>
      </c>
      <c r="AY133" s="1941" t="s">
        <v>1418</v>
      </c>
      <c r="AZ133" s="1938" t="s">
        <v>1271</v>
      </c>
      <c r="BA133" s="1944"/>
      <c r="BB133" s="1944"/>
      <c r="BC133" s="1944"/>
      <c r="BD133" s="1944"/>
      <c r="BE133" s="1944"/>
      <c r="BF133" s="1944"/>
      <c r="BG133" s="1944"/>
      <c r="BH133" s="1951"/>
      <c r="BI133" s="1944"/>
      <c r="BJ133" s="2125">
        <v>0.1</v>
      </c>
      <c r="BK133" s="1945"/>
      <c r="BL133" s="1944"/>
      <c r="BM133" s="1944"/>
      <c r="BO133" s="1937">
        <v>3.2</v>
      </c>
      <c r="BP133" s="1941" t="s">
        <v>1418</v>
      </c>
      <c r="BQ133" s="1938" t="s">
        <v>1271</v>
      </c>
      <c r="BR133" s="1944"/>
      <c r="BS133" s="1944"/>
      <c r="BT133" s="1944"/>
      <c r="BU133" s="1944"/>
      <c r="BV133" s="1944"/>
      <c r="BW133" s="1944"/>
      <c r="BX133" s="1944"/>
      <c r="BY133" s="1951"/>
      <c r="BZ133" s="3052"/>
      <c r="CA133" s="1944"/>
      <c r="CB133" s="1945"/>
      <c r="CC133" s="1944"/>
      <c r="CD133" s="1944"/>
      <c r="CE133" s="2272"/>
      <c r="CF133">
        <f>ROWS($CF$5:CF132)</f>
        <v>128</v>
      </c>
      <c r="CG133" s="1937">
        <v>3.2</v>
      </c>
      <c r="CH133" s="1941" t="s">
        <v>1418</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1418</v>
      </c>
      <c r="CZ133" s="1938"/>
      <c r="DA133" s="2695">
        <f t="shared" si="115"/>
        <v>0</v>
      </c>
      <c r="DB133" s="2695"/>
      <c r="DC133" s="2695"/>
      <c r="DD133" s="2695"/>
      <c r="DE133" s="2695"/>
      <c r="DF133" s="2695"/>
      <c r="DG133" s="2695"/>
      <c r="DH133" s="2778"/>
      <c r="DI133" s="2695"/>
      <c r="DJ133" s="2695"/>
      <c r="DK133" s="2905"/>
      <c r="DL133" s="2695"/>
      <c r="DM133" s="2695"/>
    </row>
    <row r="134" spans="2:117" hidden="1">
      <c r="B134" s="1916">
        <f t="shared" si="125"/>
        <v>3.3</v>
      </c>
      <c r="C134" s="1938" t="str">
        <f t="shared" si="93"/>
        <v>照明設備</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1418</v>
      </c>
      <c r="AI134" s="1938" t="s">
        <v>1272</v>
      </c>
      <c r="AJ134" s="1944"/>
      <c r="AK134" s="1944"/>
      <c r="AL134" s="1944"/>
      <c r="AM134" s="1944"/>
      <c r="AN134" s="1944"/>
      <c r="AO134" s="1944"/>
      <c r="AP134" s="1944"/>
      <c r="AQ134" s="1951"/>
      <c r="AR134" s="1944"/>
      <c r="AS134" s="2125">
        <v>0.2</v>
      </c>
      <c r="AT134" s="1945"/>
      <c r="AU134" s="1944"/>
      <c r="AV134" s="1944"/>
      <c r="AX134" s="1937">
        <v>3.3</v>
      </c>
      <c r="AY134" s="1941" t="s">
        <v>1418</v>
      </c>
      <c r="AZ134" s="1938" t="s">
        <v>1272</v>
      </c>
      <c r="BA134" s="1944"/>
      <c r="BB134" s="1944"/>
      <c r="BC134" s="1944"/>
      <c r="BD134" s="1944"/>
      <c r="BE134" s="1944"/>
      <c r="BF134" s="1944"/>
      <c r="BG134" s="1944"/>
      <c r="BH134" s="1951"/>
      <c r="BI134" s="1944"/>
      <c r="BJ134" s="2125">
        <v>0.2</v>
      </c>
      <c r="BK134" s="1945"/>
      <c r="BL134" s="1944"/>
      <c r="BM134" s="1944"/>
      <c r="BO134" s="1937">
        <v>3.3</v>
      </c>
      <c r="BP134" s="1941" t="s">
        <v>1418</v>
      </c>
      <c r="BQ134" s="1938" t="s">
        <v>1272</v>
      </c>
      <c r="BR134" s="1944"/>
      <c r="BS134" s="1944"/>
      <c r="BT134" s="1944"/>
      <c r="BU134" s="1944"/>
      <c r="BV134" s="1944"/>
      <c r="BW134" s="1944"/>
      <c r="BX134" s="1944"/>
      <c r="BY134" s="1951"/>
      <c r="BZ134" s="3052"/>
      <c r="CA134" s="1944"/>
      <c r="CB134" s="1945"/>
      <c r="CC134" s="1944"/>
      <c r="CD134" s="1944"/>
      <c r="CE134" s="2272"/>
      <c r="CF134">
        <f>ROWS($CF$5:CF133)</f>
        <v>129</v>
      </c>
      <c r="CG134" s="1937">
        <v>3.3</v>
      </c>
      <c r="CH134" s="1941" t="s">
        <v>1418</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1418</v>
      </c>
      <c r="CZ134" s="1938"/>
      <c r="DA134" s="2695">
        <f t="shared" si="115"/>
        <v>0</v>
      </c>
      <c r="DB134" s="2695"/>
      <c r="DC134" s="2695"/>
      <c r="DD134" s="2695"/>
      <c r="DE134" s="2695"/>
      <c r="DF134" s="2695"/>
      <c r="DG134" s="2695"/>
      <c r="DH134" s="2778"/>
      <c r="DI134" s="2695"/>
      <c r="DJ134" s="2695"/>
      <c r="DK134" s="2905"/>
      <c r="DL134" s="2695"/>
      <c r="DM134" s="2695"/>
    </row>
    <row r="135" spans="2:117" hidden="1">
      <c r="B135" s="1916">
        <f t="shared" si="125"/>
        <v>3.4</v>
      </c>
      <c r="C135" s="1938" t="str">
        <f t="shared" si="93"/>
        <v>給湯設備</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1418</v>
      </c>
      <c r="AI135" s="1938" t="s">
        <v>1273</v>
      </c>
      <c r="AJ135" s="1944"/>
      <c r="AK135" s="1944"/>
      <c r="AL135" s="1944"/>
      <c r="AM135" s="1944"/>
      <c r="AN135" s="1944"/>
      <c r="AO135" s="1944"/>
      <c r="AP135" s="1944"/>
      <c r="AQ135" s="1951"/>
      <c r="AR135" s="1944"/>
      <c r="AS135" s="2125">
        <v>0.05</v>
      </c>
      <c r="AT135" s="1945"/>
      <c r="AU135" s="1944"/>
      <c r="AV135" s="1944"/>
      <c r="AX135" s="1997">
        <v>3.4</v>
      </c>
      <c r="AY135" s="1941" t="s">
        <v>1418</v>
      </c>
      <c r="AZ135" s="1938" t="s">
        <v>1273</v>
      </c>
      <c r="BA135" s="1944"/>
      <c r="BB135" s="1944"/>
      <c r="BC135" s="1944"/>
      <c r="BD135" s="1944"/>
      <c r="BE135" s="1944"/>
      <c r="BF135" s="1944"/>
      <c r="BG135" s="1944"/>
      <c r="BH135" s="1951"/>
      <c r="BI135" s="1944"/>
      <c r="BJ135" s="2125">
        <v>0.05</v>
      </c>
      <c r="BK135" s="1945"/>
      <c r="BL135" s="1944"/>
      <c r="BM135" s="1944"/>
      <c r="BO135" s="1997">
        <v>3.4</v>
      </c>
      <c r="BP135" s="1941" t="s">
        <v>1418</v>
      </c>
      <c r="BQ135" s="1938" t="s">
        <v>1273</v>
      </c>
      <c r="BR135" s="1944"/>
      <c r="BS135" s="1944"/>
      <c r="BT135" s="1944"/>
      <c r="BU135" s="1944"/>
      <c r="BV135" s="1944"/>
      <c r="BW135" s="1944"/>
      <c r="BX135" s="1944"/>
      <c r="BY135" s="1951"/>
      <c r="BZ135" s="3052"/>
      <c r="CA135" s="1944"/>
      <c r="CB135" s="1945"/>
      <c r="CC135" s="1944"/>
      <c r="CD135" s="1944"/>
      <c r="CE135" s="2272"/>
      <c r="CF135">
        <f>ROWS($CF$5:CF134)</f>
        <v>130</v>
      </c>
      <c r="CG135" s="1997">
        <v>3.4</v>
      </c>
      <c r="CH135" s="1941" t="s">
        <v>1418</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1418</v>
      </c>
      <c r="CZ135" s="1938"/>
      <c r="DA135" s="2695">
        <f t="shared" si="115"/>
        <v>0</v>
      </c>
      <c r="DB135" s="2695"/>
      <c r="DC135" s="2695"/>
      <c r="DD135" s="2695"/>
      <c r="DE135" s="2695"/>
      <c r="DF135" s="2695"/>
      <c r="DG135" s="2695"/>
      <c r="DH135" s="2778"/>
      <c r="DI135" s="2695"/>
      <c r="DJ135" s="2695"/>
      <c r="DK135" s="2905"/>
      <c r="DL135" s="2695"/>
      <c r="DM135" s="2695"/>
    </row>
    <row r="136" spans="2:117" hidden="1">
      <c r="B136" s="1916">
        <f t="shared" si="125"/>
        <v>3.5</v>
      </c>
      <c r="C136" s="1938" t="str">
        <f t="shared" si="93"/>
        <v>昇降機設備</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1418</v>
      </c>
      <c r="AI136" s="1938" t="s">
        <v>1274</v>
      </c>
      <c r="AJ136" s="1944"/>
      <c r="AK136" s="1944"/>
      <c r="AL136" s="1944"/>
      <c r="AM136" s="1944"/>
      <c r="AN136" s="1944"/>
      <c r="AO136" s="1944"/>
      <c r="AP136" s="1944"/>
      <c r="AQ136" s="1951"/>
      <c r="AR136" s="1944"/>
      <c r="AS136" s="1944"/>
      <c r="AT136" s="1945"/>
      <c r="AU136" s="1944"/>
      <c r="AV136" s="1944"/>
      <c r="AX136" s="1997">
        <v>3.5</v>
      </c>
      <c r="AY136" s="1941" t="s">
        <v>1418</v>
      </c>
      <c r="AZ136" s="1938" t="s">
        <v>1274</v>
      </c>
      <c r="BA136" s="1944"/>
      <c r="BB136" s="1944"/>
      <c r="BC136" s="1944"/>
      <c r="BD136" s="1944"/>
      <c r="BE136" s="1944"/>
      <c r="BF136" s="1944"/>
      <c r="BG136" s="1944"/>
      <c r="BH136" s="1951"/>
      <c r="BI136" s="1944"/>
      <c r="BJ136" s="1944"/>
      <c r="BK136" s="1945"/>
      <c r="BL136" s="1944"/>
      <c r="BM136" s="1944"/>
      <c r="BO136" s="1997">
        <v>3.5</v>
      </c>
      <c r="BP136" s="1941" t="s">
        <v>1418</v>
      </c>
      <c r="BQ136" s="1938" t="s">
        <v>1274</v>
      </c>
      <c r="BR136" s="1944"/>
      <c r="BS136" s="1944"/>
      <c r="BT136" s="1944"/>
      <c r="BU136" s="1944"/>
      <c r="BV136" s="1944"/>
      <c r="BW136" s="1944"/>
      <c r="BX136" s="1944"/>
      <c r="BY136" s="1951"/>
      <c r="BZ136" s="3052"/>
      <c r="CA136" s="1944"/>
      <c r="CB136" s="1945"/>
      <c r="CC136" s="1944"/>
      <c r="CD136" s="1944"/>
      <c r="CE136" s="2272"/>
      <c r="CF136">
        <f>ROWS($CF$5:CF135)</f>
        <v>131</v>
      </c>
      <c r="CG136" s="1997">
        <v>3.5</v>
      </c>
      <c r="CH136" s="1941" t="s">
        <v>1418</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1418</v>
      </c>
      <c r="CZ136" s="1938"/>
      <c r="DA136" s="2695">
        <f t="shared" si="115"/>
        <v>0</v>
      </c>
      <c r="DB136" s="2695"/>
      <c r="DC136" s="2695"/>
      <c r="DD136" s="2695"/>
      <c r="DE136" s="2695"/>
      <c r="DF136" s="2695"/>
      <c r="DG136" s="2695"/>
      <c r="DH136" s="2778"/>
      <c r="DI136" s="2695"/>
      <c r="DJ136" s="2695"/>
      <c r="DK136" s="2905"/>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3052"/>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5"/>
      <c r="DL137" s="2695"/>
      <c r="DM137" s="2695"/>
    </row>
    <row r="138" spans="2:117">
      <c r="B138" s="1916">
        <f t="shared" si="125"/>
        <v>4</v>
      </c>
      <c r="C138" s="1928" t="str">
        <f t="shared" si="147"/>
        <v>効率的運用</v>
      </c>
      <c r="D138" s="1924">
        <f>IF(I$122=0,0,G138/I$122)</f>
        <v>0.25</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v>
      </c>
      <c r="AB138" s="2808">
        <f t="shared" si="142"/>
        <v>0.2</v>
      </c>
      <c r="AC138" s="2798">
        <f t="shared" si="143"/>
        <v>0</v>
      </c>
      <c r="AD138" s="2796">
        <f t="shared" si="144"/>
        <v>0</v>
      </c>
      <c r="AE138" s="2796">
        <f t="shared" si="145"/>
        <v>0</v>
      </c>
      <c r="AG138" s="1995">
        <v>4</v>
      </c>
      <c r="AH138" s="1931" t="s">
        <v>1779</v>
      </c>
      <c r="AI138" s="1928" t="s">
        <v>1275</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1779</v>
      </c>
      <c r="AZ138" s="1928" t="s">
        <v>1275</v>
      </c>
      <c r="BA138" s="1980">
        <v>0.2</v>
      </c>
      <c r="BB138" s="1980">
        <v>0.2</v>
      </c>
      <c r="BC138" s="1980">
        <v>0.2</v>
      </c>
      <c r="BD138" s="1980">
        <v>0.2</v>
      </c>
      <c r="BE138" s="1980">
        <v>0.2</v>
      </c>
      <c r="BF138" s="1980">
        <v>0.2</v>
      </c>
      <c r="BG138" s="1980">
        <v>0.2</v>
      </c>
      <c r="BH138" s="1980">
        <v>0.2</v>
      </c>
      <c r="BI138" s="1980">
        <v>0.2</v>
      </c>
      <c r="BJ138" s="1980">
        <v>0.2</v>
      </c>
      <c r="BK138" s="1933"/>
      <c r="BL138" s="1932"/>
      <c r="BM138" s="1932"/>
      <c r="BO138" s="1995">
        <v>4</v>
      </c>
      <c r="BP138" s="1931" t="s">
        <v>1779</v>
      </c>
      <c r="BQ138" s="1928" t="s">
        <v>1275</v>
      </c>
      <c r="BR138" s="1980">
        <v>0.2</v>
      </c>
      <c r="BS138" s="1980">
        <v>0.2</v>
      </c>
      <c r="BT138" s="1980">
        <v>0.2</v>
      </c>
      <c r="BU138" s="1980">
        <v>0.2</v>
      </c>
      <c r="BV138" s="1980">
        <v>0.2</v>
      </c>
      <c r="BW138" s="1980">
        <v>0.2</v>
      </c>
      <c r="BX138" s="1980">
        <v>0.2</v>
      </c>
      <c r="BY138" s="1980">
        <v>0.2</v>
      </c>
      <c r="BZ138" s="3051">
        <v>0.2</v>
      </c>
      <c r="CA138" s="1980">
        <v>0.2</v>
      </c>
      <c r="CB138" s="1933"/>
      <c r="CC138" s="1932"/>
      <c r="CD138" s="1932"/>
      <c r="CE138" s="2271"/>
      <c r="CF138">
        <f>ROWS($CF$5:CF137)</f>
        <v>133</v>
      </c>
      <c r="CG138" s="1995">
        <v>4</v>
      </c>
      <c r="CH138" s="1931" t="s">
        <v>1779</v>
      </c>
      <c r="CI138" s="1928" t="s">
        <v>1275</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v>
      </c>
      <c r="CS138" s="2716">
        <f t="shared" si="110"/>
        <v>0.2</v>
      </c>
      <c r="CT138" s="2705">
        <f t="shared" si="111"/>
        <v>0</v>
      </c>
      <c r="CU138" s="2703">
        <f t="shared" si="112"/>
        <v>0</v>
      </c>
      <c r="CV138" s="2703">
        <f t="shared" si="113"/>
        <v>0</v>
      </c>
      <c r="CX138" s="1995">
        <v>4</v>
      </c>
      <c r="CY138" s="1931" t="s">
        <v>1779</v>
      </c>
      <c r="CZ138" s="1928" t="s">
        <v>1275</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1626</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1626</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1626</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1626</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1626</v>
      </c>
      <c r="DA139" s="2695">
        <f t="shared" si="115"/>
        <v>1</v>
      </c>
      <c r="DB139" s="2695"/>
      <c r="DC139" s="2695"/>
      <c r="DD139" s="2695"/>
      <c r="DE139" s="2695"/>
      <c r="DF139" s="2695"/>
      <c r="DG139" s="2695"/>
      <c r="DH139" s="2695"/>
      <c r="DI139" s="2695"/>
      <c r="DJ139" s="2695"/>
      <c r="DK139" s="2905"/>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1619</v>
      </c>
      <c r="AH140" s="1941" t="s">
        <v>1623</v>
      </c>
      <c r="AI140" s="1938" t="s">
        <v>1939</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1619</v>
      </c>
      <c r="AY140" s="1941" t="s">
        <v>1623</v>
      </c>
      <c r="AZ140" s="1938" t="s">
        <v>1939</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1619</v>
      </c>
      <c r="BP140" s="1941" t="s">
        <v>1623</v>
      </c>
      <c r="BQ140" s="1938" t="s">
        <v>1939</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1619</v>
      </c>
      <c r="CH140" s="1941" t="s">
        <v>1623</v>
      </c>
      <c r="CI140" s="1938" t="s">
        <v>1939</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1619</v>
      </c>
      <c r="CY140" s="1941" t="s">
        <v>1623</v>
      </c>
      <c r="CZ140" s="1938" t="s">
        <v>1939</v>
      </c>
      <c r="DA140" s="2695">
        <f t="shared" ref="DA140:DA190" si="153">BR140</f>
        <v>0.5</v>
      </c>
      <c r="DB140" s="2695"/>
      <c r="DC140" s="2695"/>
      <c r="DD140" s="2695"/>
      <c r="DE140" s="2695"/>
      <c r="DF140" s="2695"/>
      <c r="DG140" s="2695"/>
      <c r="DH140" s="2695"/>
      <c r="DI140" s="2695"/>
      <c r="DJ140" s="2695"/>
      <c r="DK140" s="2905"/>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1620</v>
      </c>
      <c r="AH141" s="1941" t="s">
        <v>1624</v>
      </c>
      <c r="AI141" s="1942" t="s">
        <v>1276</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1620</v>
      </c>
      <c r="AY141" s="1941" t="s">
        <v>1624</v>
      </c>
      <c r="AZ141" s="1942" t="s">
        <v>1276</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1620</v>
      </c>
      <c r="BP141" s="1941" t="s">
        <v>1624</v>
      </c>
      <c r="BQ141" s="1942" t="s">
        <v>1276</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1620</v>
      </c>
      <c r="CH141" s="1941" t="s">
        <v>1623</v>
      </c>
      <c r="CI141" s="1942" t="s">
        <v>1276</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1620</v>
      </c>
      <c r="CY141" s="1941" t="s">
        <v>1623</v>
      </c>
      <c r="CZ141" s="1942" t="s">
        <v>1276</v>
      </c>
      <c r="DA141" s="2695">
        <f t="shared" si="153"/>
        <v>0.5</v>
      </c>
      <c r="DB141" s="2695"/>
      <c r="DC141" s="2695"/>
      <c r="DD141" s="2695"/>
      <c r="DE141" s="2695"/>
      <c r="DF141" s="2695"/>
      <c r="DG141" s="2695"/>
      <c r="DH141" s="2695"/>
      <c r="DI141" s="2695"/>
      <c r="DJ141" s="2695"/>
      <c r="DK141" s="2905"/>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1627</v>
      </c>
      <c r="AJ142" s="1944"/>
      <c r="AK142" s="1944"/>
      <c r="AL142" s="1944"/>
      <c r="AM142" s="1944"/>
      <c r="AN142" s="1944"/>
      <c r="AO142" s="1944"/>
      <c r="AP142" s="1944">
        <v>1</v>
      </c>
      <c r="AQ142" s="1951"/>
      <c r="AR142" s="1944"/>
      <c r="AS142" s="1944"/>
      <c r="AT142" s="1945"/>
      <c r="AU142" s="1990"/>
      <c r="AV142" s="1990"/>
      <c r="AX142" s="1937">
        <v>4.2</v>
      </c>
      <c r="AY142" s="1941" t="s">
        <v>172</v>
      </c>
      <c r="AZ142" s="1942" t="s">
        <v>1627</v>
      </c>
      <c r="BA142" s="1944"/>
      <c r="BB142" s="1944"/>
      <c r="BC142" s="1944"/>
      <c r="BD142" s="1944"/>
      <c r="BE142" s="1944"/>
      <c r="BF142" s="1944"/>
      <c r="BG142" s="1944">
        <v>1</v>
      </c>
      <c r="BH142" s="1951"/>
      <c r="BI142" s="1944"/>
      <c r="BJ142" s="1944"/>
      <c r="BK142" s="1945"/>
      <c r="BL142" s="1990"/>
      <c r="BM142" s="1990"/>
      <c r="BO142" s="1937">
        <v>4.2</v>
      </c>
      <c r="BP142" s="1941" t="s">
        <v>172</v>
      </c>
      <c r="BQ142" s="1942" t="s">
        <v>1627</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1627</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1627</v>
      </c>
      <c r="DA142" s="2695">
        <f t="shared" si="153"/>
        <v>0</v>
      </c>
      <c r="DB142" s="2695"/>
      <c r="DC142" s="2695"/>
      <c r="DD142" s="2695"/>
      <c r="DE142" s="2695"/>
      <c r="DF142" s="2695"/>
      <c r="DG142" s="2695"/>
      <c r="DH142" s="2778"/>
      <c r="DI142" s="2695"/>
      <c r="DJ142" s="2695"/>
      <c r="DK142" s="2905"/>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1621</v>
      </c>
      <c r="AH143" s="1941" t="s">
        <v>1625</v>
      </c>
      <c r="AI143" s="1942" t="s">
        <v>1613</v>
      </c>
      <c r="AJ143" s="1944"/>
      <c r="AK143" s="1944"/>
      <c r="AL143" s="1944"/>
      <c r="AM143" s="1944"/>
      <c r="AN143" s="1944"/>
      <c r="AO143" s="1944"/>
      <c r="AP143" s="1944">
        <v>0.5</v>
      </c>
      <c r="AQ143" s="1951"/>
      <c r="AR143" s="1944"/>
      <c r="AS143" s="1944"/>
      <c r="AT143" s="1945"/>
      <c r="AU143" s="1990"/>
      <c r="AV143" s="1990"/>
      <c r="AX143" s="1937" t="s">
        <v>1621</v>
      </c>
      <c r="AY143" s="1941" t="s">
        <v>1625</v>
      </c>
      <c r="AZ143" s="1942" t="s">
        <v>1017</v>
      </c>
      <c r="BA143" s="1944"/>
      <c r="BB143" s="1944"/>
      <c r="BC143" s="1944"/>
      <c r="BD143" s="1944"/>
      <c r="BE143" s="1944"/>
      <c r="BF143" s="1944"/>
      <c r="BG143" s="1944">
        <v>0.5</v>
      </c>
      <c r="BH143" s="1951"/>
      <c r="BI143" s="1944"/>
      <c r="BJ143" s="1944"/>
      <c r="BK143" s="1945"/>
      <c r="BL143" s="1990"/>
      <c r="BM143" s="1990"/>
      <c r="BO143" s="1937" t="s">
        <v>1621</v>
      </c>
      <c r="BP143" s="1941" t="s">
        <v>1625</v>
      </c>
      <c r="BQ143" s="1942" t="s">
        <v>1017</v>
      </c>
      <c r="BR143" s="1944"/>
      <c r="BS143" s="1944"/>
      <c r="BT143" s="1944"/>
      <c r="BU143" s="1944"/>
      <c r="BV143" s="1944"/>
      <c r="BW143" s="1944"/>
      <c r="BX143" s="1944">
        <v>0.5</v>
      </c>
      <c r="BY143" s="1951"/>
      <c r="BZ143" s="1944"/>
      <c r="CA143" s="1944"/>
      <c r="CB143" s="1945"/>
      <c r="CC143" s="1990"/>
      <c r="CD143" s="1990"/>
      <c r="CE143" s="2275"/>
      <c r="CG143" s="1937" t="s">
        <v>1621</v>
      </c>
      <c r="CH143" s="1941" t="s">
        <v>1625</v>
      </c>
      <c r="CI143" s="1942" t="s">
        <v>1017</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1621</v>
      </c>
      <c r="CY143" s="1941" t="s">
        <v>1625</v>
      </c>
      <c r="CZ143" s="1942" t="s">
        <v>1017</v>
      </c>
      <c r="DA143" s="2695">
        <f t="shared" si="153"/>
        <v>0</v>
      </c>
      <c r="DB143" s="2695"/>
      <c r="DC143" s="2695"/>
      <c r="DD143" s="2695"/>
      <c r="DE143" s="2695"/>
      <c r="DF143" s="2695"/>
      <c r="DG143" s="2695"/>
      <c r="DH143" s="2778"/>
      <c r="DI143" s="2695"/>
      <c r="DJ143" s="2695"/>
      <c r="DK143" s="2905"/>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1622</v>
      </c>
      <c r="AH144" s="1941" t="s">
        <v>1625</v>
      </c>
      <c r="AI144" s="1942" t="s">
        <v>1614</v>
      </c>
      <c r="AJ144" s="1944"/>
      <c r="AK144" s="1944"/>
      <c r="AL144" s="1944"/>
      <c r="AM144" s="1944"/>
      <c r="AN144" s="1944"/>
      <c r="AO144" s="1944"/>
      <c r="AP144" s="1944">
        <v>0.5</v>
      </c>
      <c r="AQ144" s="1951"/>
      <c r="AR144" s="1944"/>
      <c r="AS144" s="1944"/>
      <c r="AT144" s="1945"/>
      <c r="AU144" s="1990"/>
      <c r="AV144" s="1990"/>
      <c r="AX144" s="1937" t="s">
        <v>1622</v>
      </c>
      <c r="AY144" s="1941" t="s">
        <v>1625</v>
      </c>
      <c r="AZ144" s="1942" t="s">
        <v>1018</v>
      </c>
      <c r="BA144" s="1944"/>
      <c r="BB144" s="1944"/>
      <c r="BC144" s="1944"/>
      <c r="BD144" s="1944"/>
      <c r="BE144" s="1944"/>
      <c r="BF144" s="1944"/>
      <c r="BG144" s="1944">
        <v>0.5</v>
      </c>
      <c r="BH144" s="1951"/>
      <c r="BI144" s="1944"/>
      <c r="BJ144" s="1944"/>
      <c r="BK144" s="1945"/>
      <c r="BL144" s="1990"/>
      <c r="BM144" s="1990"/>
      <c r="BO144" s="1937" t="s">
        <v>1622</v>
      </c>
      <c r="BP144" s="1941" t="s">
        <v>1625</v>
      </c>
      <c r="BQ144" s="1942" t="s">
        <v>1018</v>
      </c>
      <c r="BR144" s="1944"/>
      <c r="BS144" s="1944"/>
      <c r="BT144" s="1944"/>
      <c r="BU144" s="1944"/>
      <c r="BV144" s="1944"/>
      <c r="BW144" s="1944"/>
      <c r="BX144" s="1944">
        <v>0.5</v>
      </c>
      <c r="BY144" s="1951"/>
      <c r="BZ144" s="1944"/>
      <c r="CA144" s="1944"/>
      <c r="CB144" s="1945"/>
      <c r="CC144" s="1990"/>
      <c r="CD144" s="1990"/>
      <c r="CE144" s="2275"/>
      <c r="CG144" s="1937" t="s">
        <v>1622</v>
      </c>
      <c r="CH144" s="1941" t="s">
        <v>1625</v>
      </c>
      <c r="CI144" s="1942" t="s">
        <v>1018</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1622</v>
      </c>
      <c r="CY144" s="1941" t="s">
        <v>1625</v>
      </c>
      <c r="CZ144" s="1942" t="s">
        <v>1018</v>
      </c>
      <c r="DA144" s="2695">
        <f t="shared" si="153"/>
        <v>0</v>
      </c>
      <c r="DB144" s="2695"/>
      <c r="DC144" s="2695"/>
      <c r="DD144" s="2695"/>
      <c r="DE144" s="2695"/>
      <c r="DF144" s="2695"/>
      <c r="DG144" s="2695"/>
      <c r="DH144" s="2778"/>
      <c r="DI144" s="2695"/>
      <c r="DJ144" s="2695"/>
      <c r="DK144" s="2905"/>
      <c r="DL144" s="2698"/>
      <c r="DM144" s="2698"/>
    </row>
    <row r="145" spans="1:117">
      <c r="B145" s="1916" t="str">
        <f t="shared" si="125"/>
        <v>LR2</v>
      </c>
      <c r="C145" s="1919" t="str">
        <f t="shared" si="147"/>
        <v>資源・マテリアル</v>
      </c>
      <c r="D145" s="1994" t="e">
        <f>IF(I$121=0,0,G145/I$121)</f>
        <v>#VALUE!</v>
      </c>
      <c r="E145" s="1918">
        <f>IF(J$121=0,0,H145/J$121)</f>
        <v>0</v>
      </c>
      <c r="G145" s="1918">
        <f t="shared" si="122"/>
        <v>0.3</v>
      </c>
      <c r="H145" s="1918">
        <f t="shared" si="123"/>
        <v>0</v>
      </c>
      <c r="I145" s="1918">
        <f>G146+G151+G166</f>
        <v>1</v>
      </c>
      <c r="J145" s="1918">
        <f>H146+H151+H166</f>
        <v>0</v>
      </c>
      <c r="K145" s="1918">
        <f>IF(スコア!T145=0,0,1)</f>
        <v>1</v>
      </c>
      <c r="L145" s="1918">
        <f>IF(スコア!R145=0,0,1)</f>
        <v>0</v>
      </c>
      <c r="M145" s="1918">
        <f t="shared" si="124"/>
        <v>0.3</v>
      </c>
      <c r="N145" s="1918">
        <f t="shared" si="132"/>
        <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1940</v>
      </c>
      <c r="AH145" s="2000" t="s">
        <v>1419</v>
      </c>
      <c r="AI145" s="1919" t="s">
        <v>1941</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1940</v>
      </c>
      <c r="AY145" s="2000" t="s">
        <v>1419</v>
      </c>
      <c r="AZ145" s="1919" t="s">
        <v>1941</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1940</v>
      </c>
      <c r="BP145" s="2000" t="s">
        <v>1419</v>
      </c>
      <c r="BQ145" s="1919" t="s">
        <v>1941</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1940</v>
      </c>
      <c r="CH145" s="2000" t="s">
        <v>1412</v>
      </c>
      <c r="CI145" s="1919" t="s">
        <v>1941</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1940</v>
      </c>
      <c r="CY145" s="2000" t="s">
        <v>1412</v>
      </c>
      <c r="CZ145" s="1919" t="s">
        <v>1941</v>
      </c>
      <c r="DA145" s="2923">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0.2</v>
      </c>
      <c r="E146" s="1925">
        <f>IF(J$145=0,0,H146/J$145)</f>
        <v>0</v>
      </c>
      <c r="G146" s="1925">
        <f t="shared" ref="G146:G186" si="168">K146*M146</f>
        <v>0.2</v>
      </c>
      <c r="H146" s="1925">
        <f t="shared" ref="H146:H186" si="169">L146*N146</f>
        <v>0</v>
      </c>
      <c r="I146" s="1925">
        <f>G147+G148</f>
        <v>1</v>
      </c>
      <c r="J146" s="1925">
        <f>H147+H148</f>
        <v>0</v>
      </c>
      <c r="K146" s="1925">
        <f>IF(スコア!O146=0,0,1)</f>
        <v>1</v>
      </c>
      <c r="L146" s="1925">
        <f>IF(スコア!R146=0,0,1)</f>
        <v>0</v>
      </c>
      <c r="M146" s="1925">
        <f t="shared" ref="M146:M186" si="170">SUMPRODUCT($S$7:$AB$7,S146:AB146)</f>
        <v>0.2</v>
      </c>
      <c r="N146" s="1925">
        <f t="shared" si="132"/>
        <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1605</v>
      </c>
      <c r="AI146" s="1928" t="s">
        <v>1277</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1605</v>
      </c>
      <c r="AZ146" s="1928" t="s">
        <v>1277</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1605</v>
      </c>
      <c r="BQ146" s="1928" t="s">
        <v>1277</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1605</v>
      </c>
      <c r="CI146" s="1928" t="s">
        <v>1277</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1605</v>
      </c>
      <c r="CZ146" s="1928" t="s">
        <v>1277</v>
      </c>
      <c r="DA146" s="2932">
        <v>0.3</v>
      </c>
      <c r="DB146" s="2693"/>
      <c r="DC146" s="2693"/>
      <c r="DD146" s="2693"/>
      <c r="DE146" s="2693"/>
      <c r="DF146" s="2693"/>
      <c r="DG146" s="2693"/>
      <c r="DH146" s="2693"/>
      <c r="DI146" s="2693"/>
      <c r="DJ146" s="2693"/>
      <c r="DK146" s="2920"/>
      <c r="DL146" s="2921"/>
      <c r="DM146" s="2921"/>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1278</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1278</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1278</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1278</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1278</v>
      </c>
      <c r="DA147" s="2695">
        <f t="shared" si="153"/>
        <v>0.4</v>
      </c>
      <c r="DB147" s="2695"/>
      <c r="DC147" s="2695"/>
      <c r="DD147" s="2695"/>
      <c r="DE147" s="2695"/>
      <c r="DF147" s="2695"/>
      <c r="DG147" s="2695"/>
      <c r="DH147" s="2695"/>
      <c r="DI147" s="2695"/>
      <c r="DJ147" s="2695"/>
      <c r="DK147" s="2922"/>
      <c r="DL147" s="2908"/>
      <c r="DM147" s="2908"/>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2"/>
      <c r="DL148" s="2908"/>
      <c r="DM148" s="2908"/>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2782</v>
      </c>
      <c r="AH149" s="1941" t="s">
        <v>175</v>
      </c>
      <c r="AI149" s="1942" t="s">
        <v>2783</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2782</v>
      </c>
      <c r="AY149" s="1941" t="s">
        <v>175</v>
      </c>
      <c r="AZ149" s="1942" t="s">
        <v>2783</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2782</v>
      </c>
      <c r="BP149" s="1941" t="s">
        <v>175</v>
      </c>
      <c r="BQ149" s="1942" t="s">
        <v>2783</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2783</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2783</v>
      </c>
      <c r="DA149" s="2695">
        <f t="shared" si="153"/>
        <v>0.7</v>
      </c>
      <c r="DB149" s="2695"/>
      <c r="DC149" s="2695"/>
      <c r="DD149" s="2695"/>
      <c r="DE149" s="2695"/>
      <c r="DF149" s="2695"/>
      <c r="DG149" s="2695"/>
      <c r="DH149" s="2695"/>
      <c r="DI149" s="2695"/>
      <c r="DJ149" s="2695"/>
      <c r="DK149" s="2922"/>
      <c r="DL149" s="2908"/>
      <c r="DM149" s="2908"/>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2784</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2784</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2784</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22"/>
      <c r="DL150" s="2908"/>
      <c r="DM150" s="2908"/>
    </row>
    <row r="151" spans="1:117">
      <c r="B151" s="1916">
        <f t="shared" si="180"/>
        <v>2</v>
      </c>
      <c r="C151" s="1928" t="str">
        <f t="shared" si="147"/>
        <v>非再生性資源の使用量削減</v>
      </c>
      <c r="D151" s="1924">
        <f>IF(I$145=0,0,G151/I$145)</f>
        <v>0.6</v>
      </c>
      <c r="E151" s="1925">
        <f>IF(J$145=0,0,H151/J$145)</f>
        <v>0</v>
      </c>
      <c r="G151" s="1925">
        <f t="shared" si="168"/>
        <v>0.6</v>
      </c>
      <c r="H151" s="1925">
        <f t="shared" si="169"/>
        <v>0</v>
      </c>
      <c r="I151" s="1925">
        <f>G152+G153+G154+G155+G156+G157+G158+G165</f>
        <v>1</v>
      </c>
      <c r="J151" s="1925">
        <f>H152+H153+H154+H155+H156+H157+H158+H165</f>
        <v>0</v>
      </c>
      <c r="K151" s="1925">
        <f>IF(スコア!O151=0,0,1)</f>
        <v>1</v>
      </c>
      <c r="L151" s="1925">
        <f>IF(スコア!R151=0,0,1)</f>
        <v>0</v>
      </c>
      <c r="M151" s="1925">
        <f t="shared" si="170"/>
        <v>0.6</v>
      </c>
      <c r="N151" s="1925">
        <f t="shared" si="132"/>
        <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1605</v>
      </c>
      <c r="AI151" s="1953" t="s">
        <v>1282</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1605</v>
      </c>
      <c r="AZ151" s="1953" t="s">
        <v>1282</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1605</v>
      </c>
      <c r="BQ151" s="1953" t="s">
        <v>1282</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1605</v>
      </c>
      <c r="CI151" s="1953" t="s">
        <v>1282</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1605</v>
      </c>
      <c r="CZ151" s="1953" t="s">
        <v>1282</v>
      </c>
      <c r="DA151" s="2932">
        <v>0.5</v>
      </c>
      <c r="DB151" s="2693"/>
      <c r="DC151" s="2693"/>
      <c r="DD151" s="2693"/>
      <c r="DE151" s="2693"/>
      <c r="DF151" s="2693"/>
      <c r="DG151" s="2693"/>
      <c r="DH151" s="2693"/>
      <c r="DI151" s="2693"/>
      <c r="DJ151" s="2693"/>
      <c r="DK151" s="2920"/>
      <c r="DL151" s="2921"/>
      <c r="DM151" s="2921"/>
    </row>
    <row r="152" spans="1:117">
      <c r="B152" s="1916" t="str">
        <f t="shared" si="180"/>
        <v>2.1</v>
      </c>
      <c r="C152" s="1938" t="str">
        <f t="shared" si="147"/>
        <v>材料使用量の削減</v>
      </c>
      <c r="D152" s="1935">
        <f>IF(I$151=0,0,G152/I$151)</f>
        <v>0.1</v>
      </c>
      <c r="E152" s="1936">
        <f t="shared" ref="D152:E156" si="181">IF(J$151=0,0,H152/J$151)</f>
        <v>0</v>
      </c>
      <c r="G152" s="1936">
        <f t="shared" si="168"/>
        <v>0.1</v>
      </c>
      <c r="H152" s="1936">
        <f>L152*N152</f>
        <v>0</v>
      </c>
      <c r="I152" s="1936"/>
      <c r="J152" s="1936"/>
      <c r="K152" s="1936">
        <f>IF(スコア!O152=0,0,1)</f>
        <v>1</v>
      </c>
      <c r="L152" s="1936">
        <f>IF(スコア!R152=0,0,1)</f>
        <v>0</v>
      </c>
      <c r="M152" s="1936">
        <f t="shared" si="170"/>
        <v>0.1</v>
      </c>
      <c r="N152" s="1936">
        <f t="shared" si="132"/>
        <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2785</v>
      </c>
      <c r="AH152" s="1931" t="s">
        <v>177</v>
      </c>
      <c r="AI152" s="1942" t="s">
        <v>1283</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2786</v>
      </c>
      <c r="AY152" s="1931" t="s">
        <v>177</v>
      </c>
      <c r="AZ152" s="1942" t="s">
        <v>1283</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2786</v>
      </c>
      <c r="BP152" s="1931" t="s">
        <v>177</v>
      </c>
      <c r="BQ152" s="1942" t="s">
        <v>1283</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1414</v>
      </c>
      <c r="CH152" s="1931" t="s">
        <v>177</v>
      </c>
      <c r="CI152" s="1942" t="s">
        <v>1283</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1414</v>
      </c>
      <c r="CY152" s="1931" t="s">
        <v>177</v>
      </c>
      <c r="CZ152" s="1942" t="s">
        <v>1283</v>
      </c>
      <c r="DA152" s="2935">
        <v>0</v>
      </c>
      <c r="DB152" s="2698"/>
      <c r="DC152" s="2698"/>
      <c r="DD152" s="2698"/>
      <c r="DE152" s="2698"/>
      <c r="DF152" s="2698"/>
      <c r="DG152" s="2698"/>
      <c r="DH152" s="2698"/>
      <c r="DI152" s="2698"/>
      <c r="DJ152" s="2698"/>
      <c r="DK152" s="2920"/>
      <c r="DL152" s="2921"/>
      <c r="DM152" s="2921"/>
    </row>
    <row r="153" spans="1:117">
      <c r="B153" s="1916" t="str">
        <f t="shared" si="180"/>
        <v>2.2</v>
      </c>
      <c r="C153" s="1938" t="str">
        <f t="shared" si="147"/>
        <v>既存建築躯体等の継続使用</v>
      </c>
      <c r="D153" s="1935">
        <f t="shared" si="181"/>
        <v>0.2</v>
      </c>
      <c r="E153" s="1936">
        <f t="shared" si="181"/>
        <v>0</v>
      </c>
      <c r="G153" s="1936">
        <f t="shared" si="168"/>
        <v>0.2</v>
      </c>
      <c r="H153" s="1936">
        <f t="shared" si="169"/>
        <v>0</v>
      </c>
      <c r="I153" s="1936"/>
      <c r="J153" s="1936"/>
      <c r="K153" s="1936">
        <f>IF(スコア!O153=0,0,1)</f>
        <v>1</v>
      </c>
      <c r="L153" s="1936">
        <f>IF(スコア!R153=0,0,1)</f>
        <v>0</v>
      </c>
      <c r="M153" s="1936">
        <f t="shared" si="170"/>
        <v>0.2</v>
      </c>
      <c r="N153" s="1936">
        <f t="shared" si="132"/>
        <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2787</v>
      </c>
      <c r="AH153" s="1941" t="s">
        <v>177</v>
      </c>
      <c r="AI153" s="1938" t="s">
        <v>1284</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2788</v>
      </c>
      <c r="AY153" s="1941" t="s">
        <v>177</v>
      </c>
      <c r="AZ153" s="1938" t="s">
        <v>1284</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2788</v>
      </c>
      <c r="BP153" s="1941" t="s">
        <v>177</v>
      </c>
      <c r="BQ153" s="1938" t="s">
        <v>1284</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1415</v>
      </c>
      <c r="CH153" s="1941" t="s">
        <v>177</v>
      </c>
      <c r="CI153" s="1938" t="s">
        <v>1284</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1415</v>
      </c>
      <c r="CY153" s="1941" t="s">
        <v>177</v>
      </c>
      <c r="CZ153" s="1938" t="s">
        <v>1284</v>
      </c>
      <c r="DA153" s="2935">
        <v>0</v>
      </c>
      <c r="DB153" s="2695"/>
      <c r="DC153" s="2695"/>
      <c r="DD153" s="2695"/>
      <c r="DE153" s="2695"/>
      <c r="DF153" s="2695"/>
      <c r="DG153" s="2695"/>
      <c r="DH153" s="2695"/>
      <c r="DI153" s="2695"/>
      <c r="DJ153" s="2695"/>
      <c r="DK153" s="2922"/>
      <c r="DL153" s="2908"/>
      <c r="DM153" s="2908"/>
    </row>
    <row r="154" spans="1:117">
      <c r="B154" s="1916" t="str">
        <f t="shared" si="180"/>
        <v>2.3</v>
      </c>
      <c r="C154" s="1938" t="str">
        <f t="shared" si="147"/>
        <v>躯体材料におけるリサイクル材の使用</v>
      </c>
      <c r="D154" s="1935">
        <f t="shared" si="181"/>
        <v>0.2</v>
      </c>
      <c r="E154" s="1936">
        <f t="shared" si="181"/>
        <v>0</v>
      </c>
      <c r="G154" s="1936">
        <f t="shared" si="168"/>
        <v>0.2</v>
      </c>
      <c r="H154" s="1936">
        <f t="shared" si="169"/>
        <v>0</v>
      </c>
      <c r="I154" s="1936"/>
      <c r="J154" s="1936"/>
      <c r="K154" s="1936">
        <f>IF(スコア!O154=0,0,1)</f>
        <v>1</v>
      </c>
      <c r="L154" s="1936">
        <f>IF(スコア!R154=0,0,1)</f>
        <v>0</v>
      </c>
      <c r="M154" s="1936">
        <f t="shared" si="170"/>
        <v>0.2</v>
      </c>
      <c r="N154" s="1936">
        <f t="shared" si="132"/>
        <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2789</v>
      </c>
      <c r="AH154" s="1941" t="s">
        <v>177</v>
      </c>
      <c r="AI154" s="1938" t="s">
        <v>1285</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2790</v>
      </c>
      <c r="AY154" s="1941" t="s">
        <v>177</v>
      </c>
      <c r="AZ154" s="1938" t="s">
        <v>1285</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2790</v>
      </c>
      <c r="BP154" s="1941" t="s">
        <v>177</v>
      </c>
      <c r="BQ154" s="1938" t="s">
        <v>1285</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1708</v>
      </c>
      <c r="CH154" s="1941" t="s">
        <v>177</v>
      </c>
      <c r="CI154" s="1938" t="s">
        <v>1285</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1708</v>
      </c>
      <c r="CY154" s="1941" t="s">
        <v>177</v>
      </c>
      <c r="CZ154" s="1938" t="s">
        <v>1285</v>
      </c>
      <c r="DA154" s="2935">
        <v>0</v>
      </c>
      <c r="DB154" s="2695"/>
      <c r="DC154" s="2695"/>
      <c r="DD154" s="2695"/>
      <c r="DE154" s="2695"/>
      <c r="DF154" s="2695"/>
      <c r="DG154" s="2695"/>
      <c r="DH154" s="2695"/>
      <c r="DI154" s="2695"/>
      <c r="DJ154" s="2695"/>
      <c r="DK154" s="2922"/>
      <c r="DL154" s="2908"/>
      <c r="DM154" s="2908"/>
    </row>
    <row r="155" spans="1:117">
      <c r="B155" s="1916" t="str">
        <f t="shared" si="180"/>
        <v>2.4</v>
      </c>
      <c r="C155" s="1938" t="str">
        <f t="shared" si="147"/>
        <v>躯体材料以外におけるリサイクル材の使用</v>
      </c>
      <c r="D155" s="1935">
        <f t="shared" si="181"/>
        <v>0.2</v>
      </c>
      <c r="E155" s="1936">
        <f t="shared" si="181"/>
        <v>0</v>
      </c>
      <c r="G155" s="1936">
        <f t="shared" si="168"/>
        <v>0.2</v>
      </c>
      <c r="H155" s="1936">
        <f t="shared" si="169"/>
        <v>0</v>
      </c>
      <c r="I155" s="1936"/>
      <c r="J155" s="1936"/>
      <c r="K155" s="1936">
        <f>IF(スコア!O155=0,0,1)</f>
        <v>1</v>
      </c>
      <c r="L155" s="1936">
        <f>IF(スコア!R155=0,0,1)</f>
        <v>0</v>
      </c>
      <c r="M155" s="1936">
        <f t="shared" si="170"/>
        <v>0.2</v>
      </c>
      <c r="N155" s="1936">
        <f t="shared" si="132"/>
        <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2791</v>
      </c>
      <c r="AH155" s="1941" t="s">
        <v>177</v>
      </c>
      <c r="AI155" s="1938" t="s">
        <v>1628</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2792</v>
      </c>
      <c r="AY155" s="1941" t="s">
        <v>177</v>
      </c>
      <c r="AZ155" s="1938" t="s">
        <v>1628</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2792</v>
      </c>
      <c r="BP155" s="1941" t="s">
        <v>177</v>
      </c>
      <c r="BQ155" s="1938" t="s">
        <v>1628</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2791</v>
      </c>
      <c r="CH155" s="1941" t="s">
        <v>177</v>
      </c>
      <c r="CI155" s="1938" t="s">
        <v>1628</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2791</v>
      </c>
      <c r="CY155" s="1941" t="s">
        <v>177</v>
      </c>
      <c r="CZ155" s="1938" t="s">
        <v>1628</v>
      </c>
      <c r="DA155" s="2695">
        <f t="shared" si="153"/>
        <v>0.2</v>
      </c>
      <c r="DB155" s="2695"/>
      <c r="DC155" s="2695"/>
      <c r="DD155" s="2695"/>
      <c r="DE155" s="2695"/>
      <c r="DF155" s="2695"/>
      <c r="DG155" s="2695"/>
      <c r="DH155" s="2695"/>
      <c r="DI155" s="2695"/>
      <c r="DJ155" s="2695"/>
      <c r="DK155" s="2922"/>
      <c r="DL155" s="2908"/>
      <c r="DM155" s="2908"/>
    </row>
    <row r="156" spans="1:117">
      <c r="B156" s="1916" t="str">
        <f t="shared" si="180"/>
        <v>2.5</v>
      </c>
      <c r="C156" s="1938" t="str">
        <f t="shared" si="147"/>
        <v>持続可能な森林から産出された木材</v>
      </c>
      <c r="D156" s="1935">
        <f t="shared" si="181"/>
        <v>0.1</v>
      </c>
      <c r="E156" s="1936">
        <f t="shared" si="181"/>
        <v>0</v>
      </c>
      <c r="G156" s="1936">
        <f t="shared" si="168"/>
        <v>0.1</v>
      </c>
      <c r="H156" s="1936">
        <f t="shared" si="169"/>
        <v>0</v>
      </c>
      <c r="I156" s="1936"/>
      <c r="J156" s="1936"/>
      <c r="K156" s="1936">
        <f>IF(スコア!O156=0,0,1)</f>
        <v>1</v>
      </c>
      <c r="L156" s="1936">
        <f>IF(スコア!R156=0,0,1)</f>
        <v>0</v>
      </c>
      <c r="M156" s="1936">
        <f t="shared" si="170"/>
        <v>0.1</v>
      </c>
      <c r="N156" s="1936">
        <f t="shared" si="132"/>
        <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2793</v>
      </c>
      <c r="AH156" s="1941" t="s">
        <v>177</v>
      </c>
      <c r="AI156" s="1942" t="s">
        <v>2794</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2793</v>
      </c>
      <c r="AY156" s="1941" t="s">
        <v>177</v>
      </c>
      <c r="AZ156" s="1942" t="s">
        <v>2794</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2793</v>
      </c>
      <c r="BP156" s="1941" t="s">
        <v>177</v>
      </c>
      <c r="BQ156" s="1942" t="s">
        <v>2794</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2793</v>
      </c>
      <c r="CH156" s="1941" t="s">
        <v>177</v>
      </c>
      <c r="CI156" s="1942" t="s">
        <v>2794</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2793</v>
      </c>
      <c r="CY156" s="1941" t="s">
        <v>177</v>
      </c>
      <c r="CZ156" s="1942" t="s">
        <v>2794</v>
      </c>
      <c r="DA156" s="2924">
        <v>0.4</v>
      </c>
      <c r="DB156" s="2695"/>
      <c r="DC156" s="2695"/>
      <c r="DD156" s="2695"/>
      <c r="DE156" s="2695"/>
      <c r="DF156" s="2695"/>
      <c r="DG156" s="2695"/>
      <c r="DH156" s="2695"/>
      <c r="DI156" s="2695"/>
      <c r="DJ156" s="2695"/>
      <c r="DK156" s="2922"/>
      <c r="DL156" s="2908"/>
      <c r="DM156" s="2908"/>
    </row>
    <row r="157" spans="1:117">
      <c r="B157" s="1916" t="str">
        <f t="shared" si="180"/>
        <v>2.6</v>
      </c>
      <c r="C157" s="1938" t="str">
        <f t="shared" si="147"/>
        <v>部材の再利用可能性向上への取組み</v>
      </c>
      <c r="D157" s="1935">
        <f>IF(I$151=0,0,G157/I$151)</f>
        <v>0.2</v>
      </c>
      <c r="E157" s="1936">
        <f>IF(J$151=0,0,H157/J$151)</f>
        <v>0</v>
      </c>
      <c r="G157" s="1936">
        <f t="shared" si="168"/>
        <v>0.2</v>
      </c>
      <c r="H157" s="1936">
        <f t="shared" si="169"/>
        <v>0</v>
      </c>
      <c r="I157" s="1936"/>
      <c r="J157" s="1936"/>
      <c r="K157" s="1936">
        <f>IF(スコア!O157=0,0,1)</f>
        <v>1</v>
      </c>
      <c r="L157" s="1936">
        <f>IF(スコア!R157=0,0,1)</f>
        <v>0</v>
      </c>
      <c r="M157" s="1936">
        <f t="shared" si="170"/>
        <v>0.2</v>
      </c>
      <c r="N157" s="1936">
        <f t="shared" ref="N157:N194" si="182">(AC$7*AC157)+(AD$7*AD157)+(AE$7*AE157)</f>
        <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2795</v>
      </c>
      <c r="AH157" s="1941" t="s">
        <v>177</v>
      </c>
      <c r="AI157" s="1938" t="s">
        <v>1287</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1425</v>
      </c>
      <c r="AY157" s="1941" t="s">
        <v>177</v>
      </c>
      <c r="AZ157" s="1938" t="s">
        <v>1287</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1425</v>
      </c>
      <c r="BP157" s="1941" t="s">
        <v>177</v>
      </c>
      <c r="BQ157" s="1938" t="s">
        <v>1287</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1425</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1425</v>
      </c>
      <c r="CY157" s="1941" t="s">
        <v>177</v>
      </c>
      <c r="CZ157" s="1938" t="s">
        <v>1287</v>
      </c>
      <c r="DA157" s="2924">
        <v>0.4</v>
      </c>
      <c r="DB157" s="2695"/>
      <c r="DC157" s="2695"/>
      <c r="DD157" s="2695"/>
      <c r="DE157" s="2695"/>
      <c r="DF157" s="2695"/>
      <c r="DG157" s="2695"/>
      <c r="DH157" s="2695"/>
      <c r="DI157" s="2695"/>
      <c r="DJ157" s="2695"/>
      <c r="DK157" s="2922"/>
      <c r="DL157" s="2908"/>
      <c r="DM157" s="2908"/>
    </row>
    <row r="158" spans="1:117" hidden="1">
      <c r="A158" s="2687"/>
      <c r="B158" s="1916" t="str">
        <f t="shared" si="180"/>
        <v>2.6</v>
      </c>
      <c r="C158" s="1938">
        <f t="shared" si="147"/>
        <v>0</v>
      </c>
      <c r="D158" s="1935">
        <f>IF(I$151=0,0,G158/I$151)</f>
        <v>0</v>
      </c>
      <c r="E158" s="1935">
        <f>IF(J$151=0,0,H158/J$151)</f>
        <v>0</v>
      </c>
      <c r="F158" s="2687"/>
      <c r="G158" s="1936">
        <f>K158*M158</f>
        <v>0</v>
      </c>
      <c r="H158" s="1936">
        <f t="shared" ref="H158" si="183">L158*N158</f>
        <v>0</v>
      </c>
      <c r="I158" s="1936">
        <f>SUM(G159:G164)</f>
        <v>0</v>
      </c>
      <c r="J158" s="1936">
        <f>SUM(H159:H164)</f>
        <v>0</v>
      </c>
      <c r="K158" s="1936">
        <f>IF(スコア!O158=0,0,1)</f>
        <v>0</v>
      </c>
      <c r="L158" s="1936">
        <f>IF(スコア!R158=0,0,1)</f>
        <v>0</v>
      </c>
      <c r="M158" s="1936">
        <f>SUMPRODUCT($S$7:$AB$7,S158:AB158)</f>
        <v>0</v>
      </c>
      <c r="N158" s="1936">
        <f>(AC$7*AC158)+(AD$7*AD158)+(AE$7*AE158)</f>
        <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1425</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1425</v>
      </c>
      <c r="CH158" s="1941" t="s">
        <v>177</v>
      </c>
      <c r="CI158" s="1938" t="s">
        <v>3291</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1425</v>
      </c>
      <c r="CY158" s="1941" t="s">
        <v>177</v>
      </c>
      <c r="CZ158" s="1938"/>
      <c r="DA158" s="2695">
        <f t="shared" si="153"/>
        <v>0</v>
      </c>
      <c r="DB158" s="2695"/>
      <c r="DC158" s="2695"/>
      <c r="DD158" s="2695"/>
      <c r="DE158" s="2695"/>
      <c r="DF158" s="2695"/>
      <c r="DG158" s="2695"/>
      <c r="DH158" s="2695"/>
      <c r="DI158" s="2695"/>
      <c r="DJ158" s="2695"/>
      <c r="DK158" s="2922"/>
      <c r="DL158" s="2908"/>
      <c r="DM158" s="2908"/>
    </row>
    <row r="159" spans="1:117" hidden="1">
      <c r="A159" s="2687"/>
      <c r="B159" s="1916" t="s">
        <v>3282</v>
      </c>
      <c r="C159" s="1938">
        <f t="shared" si="147"/>
        <v>0</v>
      </c>
      <c r="D159" s="1926">
        <f>IF(I$158&gt;0,G159/I$158,0)</f>
        <v>0</v>
      </c>
      <c r="E159" s="1926">
        <f>IF(J$158&gt;0,H159/J$158,0)</f>
        <v>0</v>
      </c>
      <c r="F159" s="2687"/>
      <c r="G159" s="1936">
        <f t="shared" ref="G159:G165" si="184">K159*M159</f>
        <v>0</v>
      </c>
      <c r="H159" s="1936">
        <f t="shared" ref="H159:H164" si="185">L159*N159</f>
        <v>0</v>
      </c>
      <c r="I159" s="1936"/>
      <c r="J159" s="1936"/>
      <c r="K159" s="1936">
        <f>IF(スコア!O159=0,0,1)</f>
        <v>1</v>
      </c>
      <c r="L159" s="1936">
        <f>IF(スコア!R159=0,0,1)</f>
        <v>0</v>
      </c>
      <c r="M159" s="1936">
        <f t="shared" ref="M159:M165" si="186">SUMPRODUCT($S$7:$AB$7,S159:AB159)</f>
        <v>0</v>
      </c>
      <c r="N159" s="1936">
        <f t="shared" ref="N159:N165" si="187">(AC$7*AC159)+(AD$7*AD159)+(AE$7*AE159)</f>
        <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3292</v>
      </c>
      <c r="BP159" s="1941" t="s">
        <v>3293</v>
      </c>
      <c r="BQ159" s="1938"/>
      <c r="BR159" s="1944"/>
      <c r="BS159" s="1944"/>
      <c r="BT159" s="1944"/>
      <c r="BU159" s="1944"/>
      <c r="BV159" s="1944"/>
      <c r="BW159" s="1944"/>
      <c r="BX159" s="1944"/>
      <c r="BY159" s="1944"/>
      <c r="BZ159" s="1944"/>
      <c r="CA159" s="1944"/>
      <c r="CB159" s="2006"/>
      <c r="CC159" s="1957"/>
      <c r="CD159" s="1957"/>
      <c r="CE159" s="2266"/>
      <c r="CF159" s="2687"/>
      <c r="CG159" s="1937" t="s">
        <v>3292</v>
      </c>
      <c r="CH159" s="1941" t="s">
        <v>3293</v>
      </c>
      <c r="CI159" s="1938" t="s">
        <v>3295</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3292</v>
      </c>
      <c r="CY159" s="1941" t="s">
        <v>3293</v>
      </c>
      <c r="CZ159" s="1938"/>
      <c r="DA159" s="2695">
        <f t="shared" si="153"/>
        <v>0</v>
      </c>
      <c r="DB159" s="2695"/>
      <c r="DC159" s="2695"/>
      <c r="DD159" s="2695"/>
      <c r="DE159" s="2695"/>
      <c r="DF159" s="2695"/>
      <c r="DG159" s="2695"/>
      <c r="DH159" s="2695"/>
      <c r="DI159" s="2695"/>
      <c r="DJ159" s="2695"/>
      <c r="DK159" s="2922"/>
      <c r="DL159" s="2908"/>
      <c r="DM159" s="2908"/>
    </row>
    <row r="160" spans="1:117" hidden="1">
      <c r="A160" s="2687"/>
      <c r="B160" s="1916" t="s">
        <v>3283</v>
      </c>
      <c r="C160" s="1938">
        <f t="shared" si="147"/>
        <v>0</v>
      </c>
      <c r="D160" s="1926">
        <f t="shared" ref="D160:E163" si="188">IF(I$158&gt;0,G160/I$158,0)</f>
        <v>0</v>
      </c>
      <c r="E160" s="1926">
        <f>IF(J$158&gt;0,H160/J$158,0)</f>
        <v>0</v>
      </c>
      <c r="F160" s="2687"/>
      <c r="G160" s="1936">
        <f t="shared" si="184"/>
        <v>0</v>
      </c>
      <c r="H160" s="1936">
        <f t="shared" si="185"/>
        <v>0</v>
      </c>
      <c r="I160" s="1936"/>
      <c r="J160" s="1936"/>
      <c r="K160" s="1936">
        <f>IF(スコア!O160=0,0,1)</f>
        <v>1</v>
      </c>
      <c r="L160" s="1936">
        <f>IF(スコア!R160=0,0,1)</f>
        <v>0</v>
      </c>
      <c r="M160" s="1936">
        <f t="shared" si="186"/>
        <v>0</v>
      </c>
      <c r="N160" s="1936">
        <f t="shared" si="187"/>
        <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3283</v>
      </c>
      <c r="BP160" s="1941" t="s">
        <v>3293</v>
      </c>
      <c r="BQ160" s="1938"/>
      <c r="BR160" s="1944"/>
      <c r="BS160" s="1944"/>
      <c r="BT160" s="1944"/>
      <c r="BU160" s="1944"/>
      <c r="BV160" s="1944"/>
      <c r="BW160" s="1944"/>
      <c r="BX160" s="1944"/>
      <c r="BY160" s="1944"/>
      <c r="BZ160" s="1944"/>
      <c r="CA160" s="1944"/>
      <c r="CB160" s="2006"/>
      <c r="CC160" s="1957"/>
      <c r="CD160" s="1957"/>
      <c r="CE160" s="2266"/>
      <c r="CF160" s="2687"/>
      <c r="CG160" s="1937" t="s">
        <v>3283</v>
      </c>
      <c r="CH160" s="1941" t="s">
        <v>3293</v>
      </c>
      <c r="CI160" s="1938" t="s">
        <v>3297</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3283</v>
      </c>
      <c r="CY160" s="1941" t="s">
        <v>3293</v>
      </c>
      <c r="CZ160" s="1938"/>
      <c r="DA160" s="2695">
        <f t="shared" si="153"/>
        <v>0</v>
      </c>
      <c r="DB160" s="2695"/>
      <c r="DC160" s="2695"/>
      <c r="DD160" s="2695"/>
      <c r="DE160" s="2695"/>
      <c r="DF160" s="2695"/>
      <c r="DG160" s="2695"/>
      <c r="DH160" s="2695"/>
      <c r="DI160" s="2695"/>
      <c r="DJ160" s="2695"/>
      <c r="DK160" s="2922"/>
      <c r="DL160" s="2908"/>
      <c r="DM160" s="2908"/>
    </row>
    <row r="161" spans="1:117" hidden="1">
      <c r="A161" s="2687"/>
      <c r="B161" s="1916" t="s">
        <v>3284</v>
      </c>
      <c r="C161" s="1938">
        <f t="shared" si="147"/>
        <v>0</v>
      </c>
      <c r="D161" s="1926">
        <f t="shared" si="188"/>
        <v>0</v>
      </c>
      <c r="E161" s="1926">
        <f t="shared" si="188"/>
        <v>0</v>
      </c>
      <c r="F161" s="2687"/>
      <c r="G161" s="1936">
        <f t="shared" si="184"/>
        <v>0</v>
      </c>
      <c r="H161" s="1936">
        <f t="shared" si="185"/>
        <v>0</v>
      </c>
      <c r="I161" s="1936"/>
      <c r="J161" s="1936"/>
      <c r="K161" s="1936">
        <f>IF(スコア!O161=0,0,1)</f>
        <v>1</v>
      </c>
      <c r="L161" s="1936">
        <f>IF(スコア!R161=0,0,1)</f>
        <v>0</v>
      </c>
      <c r="M161" s="1936">
        <f t="shared" si="186"/>
        <v>0</v>
      </c>
      <c r="N161" s="1936">
        <f t="shared" si="187"/>
        <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3284</v>
      </c>
      <c r="BP161" s="1941" t="s">
        <v>3293</v>
      </c>
      <c r="BQ161" s="1938"/>
      <c r="BR161" s="1944"/>
      <c r="BS161" s="1944"/>
      <c r="BT161" s="1944"/>
      <c r="BU161" s="1944"/>
      <c r="BV161" s="1944"/>
      <c r="BW161" s="1944"/>
      <c r="BX161" s="1944"/>
      <c r="BY161" s="1944"/>
      <c r="BZ161" s="1944"/>
      <c r="CA161" s="1944"/>
      <c r="CB161" s="2006"/>
      <c r="CC161" s="1957"/>
      <c r="CD161" s="1957"/>
      <c r="CE161" s="2266"/>
      <c r="CF161" s="2687"/>
      <c r="CG161" s="1937" t="s">
        <v>3284</v>
      </c>
      <c r="CH161" s="1941" t="s">
        <v>3293</v>
      </c>
      <c r="CI161" s="1938" t="s">
        <v>3299</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3284</v>
      </c>
      <c r="CY161" s="1941" t="s">
        <v>3293</v>
      </c>
      <c r="CZ161" s="1938"/>
      <c r="DA161" s="2695">
        <f t="shared" si="153"/>
        <v>0</v>
      </c>
      <c r="DB161" s="2695"/>
      <c r="DC161" s="2695"/>
      <c r="DD161" s="2695"/>
      <c r="DE161" s="2695"/>
      <c r="DF161" s="2695"/>
      <c r="DG161" s="2695"/>
      <c r="DH161" s="2695"/>
      <c r="DI161" s="2695"/>
      <c r="DJ161" s="2695"/>
      <c r="DK161" s="2922"/>
      <c r="DL161" s="2908"/>
      <c r="DM161" s="2908"/>
    </row>
    <row r="162" spans="1:117" hidden="1">
      <c r="A162" s="2687"/>
      <c r="B162" s="1916" t="s">
        <v>3285</v>
      </c>
      <c r="C162" s="1938">
        <f t="shared" si="147"/>
        <v>0</v>
      </c>
      <c r="D162" s="1926">
        <f t="shared" si="188"/>
        <v>0</v>
      </c>
      <c r="E162" s="1926">
        <f t="shared" si="188"/>
        <v>0</v>
      </c>
      <c r="F162" s="2687"/>
      <c r="G162" s="1936">
        <f t="shared" si="184"/>
        <v>0</v>
      </c>
      <c r="H162" s="1936">
        <f t="shared" si="185"/>
        <v>0</v>
      </c>
      <c r="I162" s="1936"/>
      <c r="J162" s="1936"/>
      <c r="K162" s="1936">
        <f>IF(スコア!O162=0,0,1)</f>
        <v>1</v>
      </c>
      <c r="L162" s="1936">
        <f>IF(スコア!R162=0,0,1)</f>
        <v>0</v>
      </c>
      <c r="M162" s="1936">
        <f t="shared" si="186"/>
        <v>0</v>
      </c>
      <c r="N162" s="1936">
        <f t="shared" si="187"/>
        <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3285</v>
      </c>
      <c r="BP162" s="1941" t="s">
        <v>3293</v>
      </c>
      <c r="BQ162" s="1938"/>
      <c r="BR162" s="1944"/>
      <c r="BS162" s="1944"/>
      <c r="BT162" s="1944"/>
      <c r="BU162" s="1944"/>
      <c r="BV162" s="1944"/>
      <c r="BW162" s="1944"/>
      <c r="BX162" s="1944"/>
      <c r="BY162" s="1944"/>
      <c r="BZ162" s="1944"/>
      <c r="CA162" s="1944"/>
      <c r="CB162" s="2006"/>
      <c r="CC162" s="1957"/>
      <c r="CD162" s="1957"/>
      <c r="CE162" s="2266"/>
      <c r="CF162" s="2687"/>
      <c r="CG162" s="1937" t="s">
        <v>3285</v>
      </c>
      <c r="CH162" s="1941" t="s">
        <v>3293</v>
      </c>
      <c r="CI162" s="1938" t="s">
        <v>3301</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3285</v>
      </c>
      <c r="CY162" s="1941" t="s">
        <v>3293</v>
      </c>
      <c r="CZ162" s="1938"/>
      <c r="DA162" s="2695">
        <f t="shared" si="153"/>
        <v>0</v>
      </c>
      <c r="DB162" s="2695"/>
      <c r="DC162" s="2695"/>
      <c r="DD162" s="2695"/>
      <c r="DE162" s="2695"/>
      <c r="DF162" s="2695"/>
      <c r="DG162" s="2695"/>
      <c r="DH162" s="2695"/>
      <c r="DI162" s="2695"/>
      <c r="DJ162" s="2695"/>
      <c r="DK162" s="2922"/>
      <c r="DL162" s="2908"/>
      <c r="DM162" s="2908"/>
    </row>
    <row r="163" spans="1:117" hidden="1">
      <c r="A163" s="2687"/>
      <c r="B163" s="1916" t="s">
        <v>3286</v>
      </c>
      <c r="C163" s="1938">
        <f t="shared" si="147"/>
        <v>0</v>
      </c>
      <c r="D163" s="1926">
        <f t="shared" si="188"/>
        <v>0</v>
      </c>
      <c r="E163" s="1926">
        <f t="shared" si="188"/>
        <v>0</v>
      </c>
      <c r="F163" s="2687"/>
      <c r="G163" s="1936">
        <f t="shared" si="184"/>
        <v>0</v>
      </c>
      <c r="H163" s="1936">
        <f t="shared" si="185"/>
        <v>0</v>
      </c>
      <c r="I163" s="1936"/>
      <c r="J163" s="1936"/>
      <c r="K163" s="1936">
        <f>IF(スコア!O163=0,0,1)</f>
        <v>1</v>
      </c>
      <c r="L163" s="1936">
        <f>IF(スコア!R163=0,0,1)</f>
        <v>0</v>
      </c>
      <c r="M163" s="1936">
        <f t="shared" si="186"/>
        <v>0</v>
      </c>
      <c r="N163" s="1936">
        <f t="shared" si="187"/>
        <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3286</v>
      </c>
      <c r="BP163" s="1941" t="s">
        <v>3293</v>
      </c>
      <c r="BQ163" s="1938"/>
      <c r="BR163" s="1944"/>
      <c r="BS163" s="1944"/>
      <c r="BT163" s="1944"/>
      <c r="BU163" s="1944"/>
      <c r="BV163" s="1944"/>
      <c r="BW163" s="1944"/>
      <c r="BX163" s="1944"/>
      <c r="BY163" s="1944"/>
      <c r="BZ163" s="1944"/>
      <c r="CA163" s="1944"/>
      <c r="CB163" s="2006"/>
      <c r="CC163" s="1957"/>
      <c r="CD163" s="1957"/>
      <c r="CE163" s="2266"/>
      <c r="CF163" s="2687"/>
      <c r="CG163" s="1937" t="s">
        <v>3286</v>
      </c>
      <c r="CH163" s="1941" t="s">
        <v>3293</v>
      </c>
      <c r="CI163" s="1938" t="s">
        <v>3303</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3286</v>
      </c>
      <c r="CY163" s="1941" t="s">
        <v>3293</v>
      </c>
      <c r="CZ163" s="1938"/>
      <c r="DA163" s="2695">
        <f t="shared" si="153"/>
        <v>0</v>
      </c>
      <c r="DB163" s="2695"/>
      <c r="DC163" s="2695"/>
      <c r="DD163" s="2695"/>
      <c r="DE163" s="2695"/>
      <c r="DF163" s="2695"/>
      <c r="DG163" s="2695"/>
      <c r="DH163" s="2695"/>
      <c r="DI163" s="2695"/>
      <c r="DJ163" s="2695"/>
      <c r="DK163" s="2922"/>
      <c r="DL163" s="2908"/>
      <c r="DM163" s="2908"/>
    </row>
    <row r="164" spans="1:117" hidden="1">
      <c r="A164" s="2687"/>
      <c r="B164" s="1916" t="s">
        <v>3287</v>
      </c>
      <c r="C164" s="1938">
        <f t="shared" si="147"/>
        <v>0</v>
      </c>
      <c r="D164" s="1926">
        <f>IF(I$158&gt;0,G164/I$158,0)</f>
        <v>0</v>
      </c>
      <c r="E164" s="1926">
        <f>IF(J$158&gt;0,H164/J$158,0)</f>
        <v>0</v>
      </c>
      <c r="F164" s="2687"/>
      <c r="G164" s="1936">
        <f t="shared" si="184"/>
        <v>0</v>
      </c>
      <c r="H164" s="1936">
        <f t="shared" si="185"/>
        <v>0</v>
      </c>
      <c r="I164" s="1936"/>
      <c r="J164" s="1936"/>
      <c r="K164" s="1936">
        <f>IF(スコア!O164=0,0,1)</f>
        <v>1</v>
      </c>
      <c r="L164" s="1936">
        <f>IF(スコア!R164=0,0,1)</f>
        <v>0</v>
      </c>
      <c r="M164" s="1936">
        <f t="shared" si="186"/>
        <v>0</v>
      </c>
      <c r="N164" s="1936">
        <f t="shared" si="187"/>
        <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3287</v>
      </c>
      <c r="BP164" s="1941" t="s">
        <v>3293</v>
      </c>
      <c r="BQ164" s="1938"/>
      <c r="BR164" s="1944"/>
      <c r="BS164" s="1944"/>
      <c r="BT164" s="1944"/>
      <c r="BU164" s="1944"/>
      <c r="BV164" s="1944"/>
      <c r="BW164" s="1944"/>
      <c r="BX164" s="1944"/>
      <c r="BY164" s="1944"/>
      <c r="BZ164" s="1944"/>
      <c r="CA164" s="1944"/>
      <c r="CB164" s="2006"/>
      <c r="CC164" s="1957"/>
      <c r="CD164" s="1957"/>
      <c r="CE164" s="2266"/>
      <c r="CF164" s="2687"/>
      <c r="CG164" s="1937" t="s">
        <v>3287</v>
      </c>
      <c r="CH164" s="1941" t="s">
        <v>3293</v>
      </c>
      <c r="CI164" s="1938" t="s">
        <v>3305</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3287</v>
      </c>
      <c r="CY164" s="1941" t="s">
        <v>3293</v>
      </c>
      <c r="CZ164" s="1938"/>
      <c r="DA164" s="2695">
        <f t="shared" si="153"/>
        <v>0</v>
      </c>
      <c r="DB164" s="2695"/>
      <c r="DC164" s="2695"/>
      <c r="DD164" s="2695"/>
      <c r="DE164" s="2695"/>
      <c r="DF164" s="2695"/>
      <c r="DG164" s="2695"/>
      <c r="DH164" s="2695"/>
      <c r="DI164" s="2695"/>
      <c r="DJ164" s="2695"/>
      <c r="DK164" s="2922"/>
      <c r="DL164" s="2908"/>
      <c r="DM164" s="2908"/>
    </row>
    <row r="165" spans="1:117" hidden="1">
      <c r="A165" s="2687"/>
      <c r="B165" s="1916">
        <v>2.7</v>
      </c>
      <c r="C165" s="1938">
        <f t="shared" si="147"/>
        <v>0</v>
      </c>
      <c r="D165" s="1935">
        <f>IF(I$151=0,0,G165/I$151)</f>
        <v>0</v>
      </c>
      <c r="E165" s="1936">
        <f>IF(J$151=0,0,H165/J$151)</f>
        <v>0</v>
      </c>
      <c r="F165" s="2687"/>
      <c r="G165" s="1936">
        <f t="shared" si="184"/>
        <v>0</v>
      </c>
      <c r="H165" s="1936">
        <f>L165*N165</f>
        <v>0</v>
      </c>
      <c r="I165" s="1936"/>
      <c r="J165" s="1936"/>
      <c r="K165" s="1936">
        <f>IF(スコア!O165=0,0,1)</f>
        <v>1</v>
      </c>
      <c r="L165" s="1936">
        <f>IF(スコア!R165=0,0,1)</f>
        <v>0</v>
      </c>
      <c r="M165" s="1936">
        <f t="shared" si="186"/>
        <v>0</v>
      </c>
      <c r="N165" s="1936">
        <f t="shared" si="187"/>
        <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3307</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3307</v>
      </c>
      <c r="CI165" s="1938" t="s">
        <v>3276</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3307</v>
      </c>
      <c r="CZ165" s="1938"/>
      <c r="DA165" s="2695">
        <f t="shared" si="153"/>
        <v>0</v>
      </c>
      <c r="DB165" s="2695"/>
      <c r="DC165" s="2695"/>
      <c r="DD165" s="2695"/>
      <c r="DE165" s="2695"/>
      <c r="DF165" s="2695"/>
      <c r="DG165" s="2695"/>
      <c r="DH165" s="2695"/>
      <c r="DI165" s="2695"/>
      <c r="DJ165" s="2695"/>
      <c r="DK165" s="2922"/>
      <c r="DL165" s="2908"/>
      <c r="DM165" s="2908"/>
    </row>
    <row r="166" spans="1:117">
      <c r="B166" s="1916">
        <f t="shared" si="180"/>
        <v>3</v>
      </c>
      <c r="C166" s="1928" t="str">
        <f t="shared" si="147"/>
        <v>汚染物質含有材料の使用回避</v>
      </c>
      <c r="D166" s="1924">
        <f>IF(I$145=0,0,G166/I$145)</f>
        <v>0.2</v>
      </c>
      <c r="E166" s="1925">
        <f>IF(J$145=0,0,H166/J$145)</f>
        <v>0</v>
      </c>
      <c r="G166" s="1925">
        <f t="shared" si="168"/>
        <v>0.2</v>
      </c>
      <c r="H166" s="1925">
        <f t="shared" si="169"/>
        <v>0</v>
      </c>
      <c r="I166" s="1925">
        <f>G167+G168</f>
        <v>1</v>
      </c>
      <c r="J166" s="1925">
        <f>H167+H168</f>
        <v>0</v>
      </c>
      <c r="K166" s="1925">
        <f>IF(スコア!O166=0,0,1)</f>
        <v>1</v>
      </c>
      <c r="L166" s="1925">
        <f>IF(スコア!R166=0,0,1)</f>
        <v>0</v>
      </c>
      <c r="M166" s="1925">
        <f t="shared" si="170"/>
        <v>0.2</v>
      </c>
      <c r="N166" s="1925">
        <f t="shared" si="182"/>
        <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1605</v>
      </c>
      <c r="AI166" s="1953" t="s">
        <v>1288</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1605</v>
      </c>
      <c r="AZ166" s="1953" t="s">
        <v>1288</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1605</v>
      </c>
      <c r="BQ166" s="1953" t="s">
        <v>1288</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1605</v>
      </c>
      <c r="CI166" s="1953" t="s">
        <v>1288</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1605</v>
      </c>
      <c r="CZ166" s="1953" t="s">
        <v>1288</v>
      </c>
      <c r="DA166" s="2932">
        <f t="shared" si="153"/>
        <v>0.2</v>
      </c>
      <c r="DB166" s="2693"/>
      <c r="DC166" s="2693"/>
      <c r="DD166" s="2693"/>
      <c r="DE166" s="2693"/>
      <c r="DF166" s="2693"/>
      <c r="DG166" s="2693"/>
      <c r="DH166" s="2693"/>
      <c r="DI166" s="2693"/>
      <c r="DJ166" s="2693"/>
      <c r="DK166" s="2920"/>
      <c r="DL166" s="2921"/>
      <c r="DM166" s="2921"/>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1426</v>
      </c>
      <c r="AH167" s="1941" t="s">
        <v>178</v>
      </c>
      <c r="AI167" s="1938" t="s">
        <v>1289</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1427</v>
      </c>
      <c r="AY167" s="1941" t="s">
        <v>178</v>
      </c>
      <c r="AZ167" s="1938" t="s">
        <v>1289</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1427</v>
      </c>
      <c r="BP167" s="1941" t="s">
        <v>178</v>
      </c>
      <c r="BQ167" s="1938" t="s">
        <v>1289</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1405</v>
      </c>
      <c r="CH167" s="1941" t="s">
        <v>178</v>
      </c>
      <c r="CI167" s="1938" t="s">
        <v>1289</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1405</v>
      </c>
      <c r="CY167" s="1941" t="s">
        <v>178</v>
      </c>
      <c r="CZ167" s="1938" t="s">
        <v>1289</v>
      </c>
      <c r="DA167" s="2924">
        <v>0.6</v>
      </c>
      <c r="DB167" s="2695"/>
      <c r="DC167" s="2695"/>
      <c r="DD167" s="2695"/>
      <c r="DE167" s="2695"/>
      <c r="DF167" s="2695"/>
      <c r="DG167" s="2695"/>
      <c r="DH167" s="2695"/>
      <c r="DI167" s="2695"/>
      <c r="DJ167" s="2695"/>
      <c r="DK167" s="2922"/>
      <c r="DL167" s="2908"/>
      <c r="DM167" s="2908"/>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1428</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1428</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1428</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1407</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1407</v>
      </c>
      <c r="CY168" s="1941" t="s">
        <v>178</v>
      </c>
      <c r="CZ168" s="1938" t="s">
        <v>179</v>
      </c>
      <c r="DA168" s="2924">
        <v>0.4</v>
      </c>
      <c r="DB168" s="2695"/>
      <c r="DC168" s="2695"/>
      <c r="DD168" s="2695"/>
      <c r="DE168" s="2695"/>
      <c r="DF168" s="2695"/>
      <c r="DG168" s="2695"/>
      <c r="DH168" s="2695"/>
      <c r="DI168" s="2695"/>
      <c r="DJ168" s="2695"/>
      <c r="DK168" s="2922"/>
      <c r="DL168" s="2908"/>
      <c r="DM168" s="2908"/>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1429</v>
      </c>
      <c r="AH169" s="1941" t="s">
        <v>2506</v>
      </c>
      <c r="AI169" s="1942" t="s">
        <v>1430</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1429</v>
      </c>
      <c r="AY169" s="1941" t="s">
        <v>2506</v>
      </c>
      <c r="AZ169" s="1942" t="s">
        <v>1430</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1429</v>
      </c>
      <c r="BP169" s="1941" t="s">
        <v>2506</v>
      </c>
      <c r="BQ169" s="1942" t="s">
        <v>1430</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1143</v>
      </c>
      <c r="CH169" s="1941" t="s">
        <v>2506</v>
      </c>
      <c r="CI169" s="1942" t="s">
        <v>1430</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1143</v>
      </c>
      <c r="CY169" s="1941" t="s">
        <v>2506</v>
      </c>
      <c r="CZ169" s="1942" t="s">
        <v>1430</v>
      </c>
      <c r="DA169" s="2924">
        <v>0</v>
      </c>
      <c r="DB169" s="2695"/>
      <c r="DC169" s="2695"/>
      <c r="DD169" s="2695"/>
      <c r="DE169" s="2695"/>
      <c r="DF169" s="2695"/>
      <c r="DG169" s="2695"/>
      <c r="DH169" s="2695"/>
      <c r="DI169" s="2695"/>
      <c r="DJ169" s="2695"/>
      <c r="DK169" s="2922"/>
      <c r="DL169" s="2908"/>
      <c r="DM169" s="2908"/>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1431</v>
      </c>
      <c r="AH170" s="1941" t="s">
        <v>2506</v>
      </c>
      <c r="AI170" s="1942" t="s">
        <v>2507</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1431</v>
      </c>
      <c r="AY170" s="1941" t="s">
        <v>2506</v>
      </c>
      <c r="AZ170" s="1942" t="s">
        <v>2507</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1431</v>
      </c>
      <c r="BP170" s="1941" t="s">
        <v>2506</v>
      </c>
      <c r="BQ170" s="1942" t="s">
        <v>1432</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1144</v>
      </c>
      <c r="CH170" s="1941" t="s">
        <v>2506</v>
      </c>
      <c r="CI170" s="1942" t="s">
        <v>1432</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1144</v>
      </c>
      <c r="CY170" s="1941" t="s">
        <v>2506</v>
      </c>
      <c r="CZ170" s="1942" t="s">
        <v>1432</v>
      </c>
      <c r="DA170" s="2924">
        <v>0</v>
      </c>
      <c r="DB170" s="2695"/>
      <c r="DC170" s="2695"/>
      <c r="DD170" s="2695"/>
      <c r="DE170" s="2695"/>
      <c r="DF170" s="2695"/>
      <c r="DG170" s="2695"/>
      <c r="DH170" s="2695"/>
      <c r="DI170" s="2695"/>
      <c r="DJ170" s="2695"/>
      <c r="DK170" s="2922"/>
      <c r="DL170" s="2908"/>
      <c r="DM170" s="2908"/>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1701</v>
      </c>
      <c r="AH171" s="1941" t="s">
        <v>2506</v>
      </c>
      <c r="AI171" s="1942" t="s">
        <v>2508</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1701</v>
      </c>
      <c r="AY171" s="1941" t="s">
        <v>2506</v>
      </c>
      <c r="AZ171" s="1942" t="s">
        <v>2508</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1701</v>
      </c>
      <c r="BP171" s="1941" t="s">
        <v>2506</v>
      </c>
      <c r="BQ171" s="1942" t="s">
        <v>2508</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1145</v>
      </c>
      <c r="CH171" s="1941" t="s">
        <v>2506</v>
      </c>
      <c r="CI171" s="1942" t="s">
        <v>2508</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1145</v>
      </c>
      <c r="CY171" s="1941" t="s">
        <v>2506</v>
      </c>
      <c r="CZ171" s="1942" t="s">
        <v>2508</v>
      </c>
      <c r="DA171" s="2924">
        <v>1</v>
      </c>
      <c r="DB171" s="2695"/>
      <c r="DC171" s="2695"/>
      <c r="DD171" s="2695"/>
      <c r="DE171" s="2695"/>
      <c r="DF171" s="2695"/>
      <c r="DG171" s="2695"/>
      <c r="DH171" s="2695"/>
      <c r="DI171" s="2695"/>
      <c r="DJ171" s="2695"/>
      <c r="DK171" s="2922"/>
      <c r="DL171" s="2908"/>
      <c r="DM171" s="2908"/>
    </row>
    <row r="172" spans="1:117">
      <c r="B172" s="1916" t="str">
        <f t="shared" si="180"/>
        <v>LR3</v>
      </c>
      <c r="C172" s="1919" t="str">
        <f t="shared" si="147"/>
        <v>敷地外環境</v>
      </c>
      <c r="D172" s="1994" t="e">
        <f>IF(I$121=0,0,G172/I$121)</f>
        <v>#VALUE!</v>
      </c>
      <c r="E172" s="1918">
        <f>IF(J$121=0,0,H172/J$121)</f>
        <v>0</v>
      </c>
      <c r="G172" s="1918" t="e">
        <f t="shared" si="168"/>
        <v>#VALUE!</v>
      </c>
      <c r="H172" s="1918">
        <f t="shared" si="169"/>
        <v>0</v>
      </c>
      <c r="I172" s="1918" t="e">
        <f>G173+G174+G183</f>
        <v>#VALUE!</v>
      </c>
      <c r="J172" s="1918">
        <f>H173+H174+H183</f>
        <v>0</v>
      </c>
      <c r="K172" s="1918" t="e">
        <f>IF(スコア!T172=0,0,1)</f>
        <v>#VALUE!</v>
      </c>
      <c r="L172" s="1918">
        <f>IF(スコア!R172=0,0,1)</f>
        <v>0</v>
      </c>
      <c r="M172" s="1918">
        <f t="shared" si="170"/>
        <v>0.3</v>
      </c>
      <c r="N172" s="1918">
        <f t="shared" si="182"/>
        <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1702</v>
      </c>
      <c r="AH172" s="2000" t="s">
        <v>1703</v>
      </c>
      <c r="AI172" s="1919" t="s">
        <v>1704</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1702</v>
      </c>
      <c r="AY172" s="2000" t="s">
        <v>1703</v>
      </c>
      <c r="AZ172" s="1919" t="s">
        <v>1704</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1702</v>
      </c>
      <c r="BP172" s="2000" t="s">
        <v>1703</v>
      </c>
      <c r="BQ172" s="1919" t="s">
        <v>1704</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1702</v>
      </c>
      <c r="CH172" s="2000" t="s">
        <v>1412</v>
      </c>
      <c r="CI172" s="1919" t="s">
        <v>1704</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1702</v>
      </c>
      <c r="CY172" s="2000" t="s">
        <v>1412</v>
      </c>
      <c r="CZ172" s="1919" t="s">
        <v>1704</v>
      </c>
      <c r="DA172" s="2923">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t="e">
        <f>IF(I$172=0,0,G173/I$172)</f>
        <v>#VALUE!</v>
      </c>
      <c r="E173" s="1924">
        <f>IF(J$172=0,0,H173/J$172)</f>
        <v>0</v>
      </c>
      <c r="G173" s="1925" t="e">
        <f t="shared" si="168"/>
        <v>#VALUE!</v>
      </c>
      <c r="H173" s="1925">
        <f t="shared" si="169"/>
        <v>0</v>
      </c>
      <c r="I173" s="1925"/>
      <c r="J173" s="1925"/>
      <c r="K173" s="1925" t="e">
        <f>IF(スコア!O173=0,0,1)</f>
        <v>#VALUE!</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1606</v>
      </c>
      <c r="AI173" s="1928" t="s">
        <v>672</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1606</v>
      </c>
      <c r="AZ173" s="1928" t="s">
        <v>672</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1606</v>
      </c>
      <c r="BQ173" s="1928" t="s">
        <v>672</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1606</v>
      </c>
      <c r="CI173" s="1928" t="s">
        <v>672</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1606</v>
      </c>
      <c r="CZ173" s="1928" t="s">
        <v>672</v>
      </c>
      <c r="DA173" s="2932">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t="e">
        <f>IF(I$172=0,0,G174/I$172)</f>
        <v>#VALUE!</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1606</v>
      </c>
      <c r="AI174" s="1928" t="s">
        <v>673</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1606</v>
      </c>
      <c r="AZ174" s="1928" t="s">
        <v>673</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1606</v>
      </c>
      <c r="BQ174" s="1928" t="s">
        <v>673</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1606</v>
      </c>
      <c r="CI174" s="1928" t="s">
        <v>673</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1606</v>
      </c>
      <c r="CZ174" s="1928" t="s">
        <v>673</v>
      </c>
      <c r="DA174" s="2932">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1705</v>
      </c>
      <c r="AH175" s="1941" t="s">
        <v>2509</v>
      </c>
      <c r="AI175" s="1938" t="s">
        <v>674</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1706</v>
      </c>
      <c r="AY175" s="1941" t="s">
        <v>2509</v>
      </c>
      <c r="AZ175" s="1938" t="s">
        <v>674</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1706</v>
      </c>
      <c r="BP175" s="1941" t="s">
        <v>2509</v>
      </c>
      <c r="BQ175" s="1938" t="s">
        <v>674</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1414</v>
      </c>
      <c r="CH175" s="1941" t="s">
        <v>2509</v>
      </c>
      <c r="CI175" s="1938" t="s">
        <v>674</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1414</v>
      </c>
      <c r="CY175" s="1941" t="s">
        <v>2509</v>
      </c>
      <c r="CZ175" s="1938"/>
      <c r="DA175" s="2924">
        <v>0</v>
      </c>
      <c r="DB175" s="2695"/>
      <c r="DC175" s="2695"/>
      <c r="DD175" s="2695"/>
      <c r="DE175" s="2695"/>
      <c r="DF175" s="2695"/>
      <c r="DG175" s="2695"/>
      <c r="DH175" s="2695"/>
      <c r="DI175" s="2695"/>
      <c r="DJ175" s="2695"/>
      <c r="DK175" s="2905"/>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1707</v>
      </c>
      <c r="AH176" s="1941" t="s">
        <v>2509</v>
      </c>
      <c r="AI176" s="1938" t="s">
        <v>1944</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1707</v>
      </c>
      <c r="AY176" s="1941" t="s">
        <v>2509</v>
      </c>
      <c r="AZ176" s="1938" t="s">
        <v>1944</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1707</v>
      </c>
      <c r="BP176" s="1941" t="s">
        <v>2509</v>
      </c>
      <c r="BQ176" s="1938" t="s">
        <v>1944</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1415</v>
      </c>
      <c r="CH176" s="1941" t="s">
        <v>2509</v>
      </c>
      <c r="CI176" s="1938" t="s">
        <v>1944</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1415</v>
      </c>
      <c r="CY176" s="1941" t="s">
        <v>2509</v>
      </c>
      <c r="CZ176" s="1938"/>
      <c r="DA176" s="2924">
        <v>0</v>
      </c>
      <c r="DB176" s="2698"/>
      <c r="DC176" s="2698"/>
      <c r="DD176" s="2698"/>
      <c r="DE176" s="2698"/>
      <c r="DF176" s="2698"/>
      <c r="DG176" s="2698"/>
      <c r="DH176" s="2698"/>
      <c r="DI176" s="2698"/>
      <c r="DJ176" s="2698"/>
      <c r="DK176" s="2915"/>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1708</v>
      </c>
      <c r="AH177" s="1941" t="s">
        <v>2509</v>
      </c>
      <c r="AI177" s="1938" t="s">
        <v>675</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1709</v>
      </c>
      <c r="AY177" s="1941" t="s">
        <v>2509</v>
      </c>
      <c r="AZ177" s="1938" t="s">
        <v>675</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1709</v>
      </c>
      <c r="BP177" s="1941" t="s">
        <v>2509</v>
      </c>
      <c r="BQ177" s="1938" t="s">
        <v>675</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1708</v>
      </c>
      <c r="CH177" s="1941" t="s">
        <v>2509</v>
      </c>
      <c r="CI177" s="1938" t="s">
        <v>675</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1708</v>
      </c>
      <c r="CY177" s="1941" t="s">
        <v>2509</v>
      </c>
      <c r="CZ177" s="1938"/>
      <c r="DA177" s="2924">
        <v>0</v>
      </c>
      <c r="DB177" s="2698"/>
      <c r="DC177" s="2698"/>
      <c r="DD177" s="2698"/>
      <c r="DE177" s="2698"/>
      <c r="DF177" s="2698"/>
      <c r="DG177" s="2698"/>
      <c r="DH177" s="2698"/>
      <c r="DI177" s="2698"/>
      <c r="DJ177" s="2698"/>
      <c r="DK177" s="2915"/>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1710</v>
      </c>
      <c r="AH178" s="1941" t="s">
        <v>2510</v>
      </c>
      <c r="AI178" s="2011" t="s">
        <v>1945</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1710</v>
      </c>
      <c r="AY178" s="1941" t="s">
        <v>2510</v>
      </c>
      <c r="AZ178" s="2011" t="s">
        <v>1945</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1710</v>
      </c>
      <c r="BP178" s="1941" t="s">
        <v>2510</v>
      </c>
      <c r="BQ178" s="2011" t="s">
        <v>1945</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2510</v>
      </c>
      <c r="CI178" s="2011" t="s">
        <v>1945</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2510</v>
      </c>
      <c r="CZ178" s="2011"/>
      <c r="DA178" s="2924">
        <v>0</v>
      </c>
      <c r="DB178" s="2695"/>
      <c r="DC178" s="2695"/>
      <c r="DD178" s="2695"/>
      <c r="DE178" s="2695"/>
      <c r="DF178" s="2695"/>
      <c r="DG178" s="2695"/>
      <c r="DH178" s="2695"/>
      <c r="DI178" s="2695"/>
      <c r="DJ178" s="2695"/>
      <c r="DK178" s="2915"/>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1711</v>
      </c>
      <c r="AH179" s="1941" t="s">
        <v>2510</v>
      </c>
      <c r="AI179" s="2011" t="s">
        <v>1946</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1711</v>
      </c>
      <c r="AY179" s="1941" t="s">
        <v>2510</v>
      </c>
      <c r="AZ179" s="2011" t="s">
        <v>1946</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1711</v>
      </c>
      <c r="BP179" s="1941" t="s">
        <v>2510</v>
      </c>
      <c r="BQ179" s="2011" t="s">
        <v>1946</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2510</v>
      </c>
      <c r="CI179" s="2011" t="s">
        <v>1946</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2510</v>
      </c>
      <c r="CZ179" s="2011"/>
      <c r="DA179" s="2924">
        <v>0</v>
      </c>
      <c r="DB179" s="2695"/>
      <c r="DC179" s="2695"/>
      <c r="DD179" s="2695"/>
      <c r="DE179" s="2695"/>
      <c r="DF179" s="2695"/>
      <c r="DG179" s="2695"/>
      <c r="DH179" s="2695"/>
      <c r="DI179" s="2695"/>
      <c r="DJ179" s="2695"/>
      <c r="DK179" s="2915"/>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1712</v>
      </c>
      <c r="AH180" s="1941" t="s">
        <v>2510</v>
      </c>
      <c r="AI180" s="2011" t="s">
        <v>676</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1713</v>
      </c>
      <c r="AY180" s="1941" t="s">
        <v>2510</v>
      </c>
      <c r="AZ180" s="2011" t="s">
        <v>676</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1713</v>
      </c>
      <c r="BP180" s="1941" t="s">
        <v>2510</v>
      </c>
      <c r="BQ180" s="2011" t="s">
        <v>676</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1389</v>
      </c>
      <c r="CH180" s="1941" t="s">
        <v>2510</v>
      </c>
      <c r="CI180" s="2011" t="s">
        <v>676</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1389</v>
      </c>
      <c r="CY180" s="1941" t="s">
        <v>2510</v>
      </c>
      <c r="CZ180" s="2011"/>
      <c r="DA180" s="2924">
        <v>0</v>
      </c>
      <c r="DB180" s="2695"/>
      <c r="DC180" s="2695"/>
      <c r="DD180" s="2695"/>
      <c r="DE180" s="2695"/>
      <c r="DF180" s="2695"/>
      <c r="DG180" s="2695"/>
      <c r="DH180" s="2695"/>
      <c r="DI180" s="2695"/>
      <c r="DJ180" s="2695"/>
      <c r="DK180" s="2915"/>
      <c r="DL180" s="2698"/>
      <c r="DM180" s="2698"/>
    </row>
    <row r="181" spans="1:117">
      <c r="B181" s="1916" t="str">
        <f t="shared" si="180"/>
        <v>2.3.4</v>
      </c>
      <c r="C181" s="2894"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1714</v>
      </c>
      <c r="AH181" s="1941" t="s">
        <v>2510</v>
      </c>
      <c r="AI181" s="823" t="s">
        <v>1002</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1715</v>
      </c>
      <c r="AY181" s="1941" t="s">
        <v>2510</v>
      </c>
      <c r="AZ181" s="823" t="s">
        <v>1002</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1715</v>
      </c>
      <c r="BP181" s="1941" t="s">
        <v>2510</v>
      </c>
      <c r="BQ181" s="823" t="s">
        <v>1002</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1714</v>
      </c>
      <c r="CH181" s="1941" t="s">
        <v>2510</v>
      </c>
      <c r="CI181" s="2679" t="s">
        <v>1002</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1714</v>
      </c>
      <c r="CY181" s="1941" t="s">
        <v>2510</v>
      </c>
      <c r="CZ181" s="2877"/>
      <c r="DA181" s="2924">
        <v>0</v>
      </c>
      <c r="DB181" s="2695"/>
      <c r="DC181" s="2695"/>
      <c r="DD181" s="2695"/>
      <c r="DE181" s="2695"/>
      <c r="DF181" s="2695"/>
      <c r="DG181" s="2695"/>
      <c r="DH181" s="2695"/>
      <c r="DI181" s="2695"/>
      <c r="DJ181" s="2695"/>
      <c r="DK181" s="2915"/>
      <c r="DL181" s="2698"/>
      <c r="DM181" s="2698"/>
    </row>
    <row r="182" spans="1:117" hidden="1">
      <c r="A182" s="2687"/>
      <c r="B182" s="1916">
        <f t="shared" si="180"/>
        <v>0</v>
      </c>
      <c r="C182" s="2894">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77">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7"/>
      <c r="AJ182" s="1944"/>
      <c r="AK182" s="1944"/>
      <c r="AL182" s="1944"/>
      <c r="AM182" s="1944"/>
      <c r="AN182" s="1944"/>
      <c r="AO182" s="1944"/>
      <c r="AP182" s="1944"/>
      <c r="AQ182" s="1944"/>
      <c r="AR182" s="1944"/>
      <c r="AS182" s="1944"/>
      <c r="AT182" s="1991"/>
      <c r="AU182" s="1990"/>
      <c r="AV182" s="1990"/>
      <c r="AW182" s="2687"/>
      <c r="AX182" s="2010"/>
      <c r="AY182" s="1941"/>
      <c r="AZ182" s="2877"/>
      <c r="BA182" s="1944"/>
      <c r="BB182" s="1944"/>
      <c r="BC182" s="1944"/>
      <c r="BD182" s="1944"/>
      <c r="BE182" s="1944"/>
      <c r="BF182" s="1944"/>
      <c r="BG182" s="1944"/>
      <c r="BH182" s="1944"/>
      <c r="BI182" s="1944"/>
      <c r="BJ182" s="1944"/>
      <c r="BK182" s="1991"/>
      <c r="BL182" s="1990"/>
      <c r="BM182" s="1990"/>
      <c r="BN182" s="2687"/>
      <c r="BO182" s="2010"/>
      <c r="BP182" s="1941"/>
      <c r="BQ182" s="2877"/>
      <c r="BR182" s="1944"/>
      <c r="BS182" s="1944"/>
      <c r="BT182" s="1944"/>
      <c r="BU182" s="1944"/>
      <c r="BV182" s="1944"/>
      <c r="BW182" s="1944"/>
      <c r="BX182" s="1944"/>
      <c r="BY182" s="1944"/>
      <c r="BZ182" s="1944"/>
      <c r="CA182" s="1944"/>
      <c r="CB182" s="1991"/>
      <c r="CC182" s="1990"/>
      <c r="CD182" s="1990"/>
      <c r="CE182" s="2275"/>
      <c r="CF182" s="2687"/>
      <c r="CG182" s="2010"/>
      <c r="CH182" s="1941"/>
      <c r="CI182" s="2877"/>
      <c r="CJ182" s="2706"/>
      <c r="CK182" s="2706"/>
      <c r="CL182" s="2706"/>
      <c r="CM182" s="2706"/>
      <c r="CN182" s="2706"/>
      <c r="CO182" s="2706"/>
      <c r="CP182" s="2706"/>
      <c r="CQ182" s="2706"/>
      <c r="CR182" s="2706"/>
      <c r="CS182" s="2706"/>
      <c r="CT182" s="2722"/>
      <c r="CU182" s="2721"/>
      <c r="CV182" s="2721"/>
      <c r="CX182" s="2010" t="s">
        <v>3485</v>
      </c>
      <c r="CY182" s="1941" t="s">
        <v>2510</v>
      </c>
      <c r="CZ182" s="2936" t="s">
        <v>1002</v>
      </c>
      <c r="DA182" s="2924">
        <v>1</v>
      </c>
      <c r="DB182" s="2695"/>
      <c r="DC182" s="2695"/>
      <c r="DD182" s="2695"/>
      <c r="DE182" s="2695"/>
      <c r="DF182" s="2695"/>
      <c r="DG182" s="2695"/>
      <c r="DH182" s="2695"/>
      <c r="DI182" s="2695"/>
      <c r="DJ182" s="2695"/>
      <c r="DK182" s="2915"/>
      <c r="DL182" s="2698"/>
      <c r="DM182" s="2698"/>
    </row>
    <row r="183" spans="1:117">
      <c r="B183" s="1916">
        <f t="shared" si="180"/>
        <v>3</v>
      </c>
      <c r="C183" s="1928" t="str">
        <f t="shared" si="147"/>
        <v>周辺環境への配慮</v>
      </c>
      <c r="D183" s="1924" t="e">
        <f>IF(I$172=0,0,G183/I$172)</f>
        <v>#VALUE!</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1606</v>
      </c>
      <c r="AI183" s="1928" t="s">
        <v>1003</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1606</v>
      </c>
      <c r="AZ183" s="1928" t="s">
        <v>1003</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1606</v>
      </c>
      <c r="BQ183" s="1928" t="s">
        <v>1003</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1606</v>
      </c>
      <c r="CI183" s="1928" t="s">
        <v>1003</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1606</v>
      </c>
      <c r="CZ183" s="1928" t="s">
        <v>1003</v>
      </c>
      <c r="DA183" s="2932">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1716</v>
      </c>
      <c r="AH184" s="1941" t="s">
        <v>2511</v>
      </c>
      <c r="AI184" s="1938" t="s">
        <v>1004</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1717</v>
      </c>
      <c r="AY184" s="1941" t="s">
        <v>2511</v>
      </c>
      <c r="AZ184" s="1938" t="s">
        <v>1004</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1717</v>
      </c>
      <c r="BP184" s="1941" t="s">
        <v>2511</v>
      </c>
      <c r="BQ184" s="1938" t="s">
        <v>1004</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1405</v>
      </c>
      <c r="CH184" s="1941" t="s">
        <v>2511</v>
      </c>
      <c r="CI184" s="1938" t="s">
        <v>1004</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1405</v>
      </c>
      <c r="CY184" s="1941" t="s">
        <v>2511</v>
      </c>
      <c r="CZ184" s="1938"/>
      <c r="DA184" s="2924">
        <v>0</v>
      </c>
      <c r="DB184" s="2698"/>
      <c r="DC184" s="2698"/>
      <c r="DD184" s="2698"/>
      <c r="DE184" s="2698"/>
      <c r="DF184" s="2698"/>
      <c r="DG184" s="2698"/>
      <c r="DH184" s="2698"/>
      <c r="DI184" s="2698"/>
      <c r="DJ184" s="2698"/>
      <c r="DK184" s="2915"/>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1718</v>
      </c>
      <c r="AH185" s="1937" t="s">
        <v>2512</v>
      </c>
      <c r="AI185" s="1938" t="s">
        <v>1005</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1719</v>
      </c>
      <c r="AY185" s="1937" t="s">
        <v>2512</v>
      </c>
      <c r="AZ185" s="1938" t="s">
        <v>1005</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1719</v>
      </c>
      <c r="BP185" s="1937" t="s">
        <v>2512</v>
      </c>
      <c r="BQ185" s="1938" t="s">
        <v>1005</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1140</v>
      </c>
      <c r="CH185" s="1937" t="s">
        <v>2512</v>
      </c>
      <c r="CI185" s="1938" t="s">
        <v>1005</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1140</v>
      </c>
      <c r="CY185" s="1937" t="s">
        <v>2512</v>
      </c>
      <c r="CZ185" s="1938"/>
      <c r="DA185" s="2924">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1720</v>
      </c>
      <c r="AH186" s="1937" t="s">
        <v>2512</v>
      </c>
      <c r="AI186" s="1938" t="s">
        <v>2513</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1720</v>
      </c>
      <c r="AY186" s="1937" t="s">
        <v>2512</v>
      </c>
      <c r="AZ186" s="1938" t="s">
        <v>2513</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1720</v>
      </c>
      <c r="BP186" s="1937" t="s">
        <v>2512</v>
      </c>
      <c r="BQ186" s="1938" t="s">
        <v>2513</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1141</v>
      </c>
      <c r="CH186" s="1937" t="s">
        <v>2512</v>
      </c>
      <c r="CI186" s="1938" t="s">
        <v>2513</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1141</v>
      </c>
      <c r="CY186" s="1937" t="s">
        <v>2512</v>
      </c>
      <c r="CZ186" s="1938"/>
      <c r="DA186" s="2924">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1721</v>
      </c>
      <c r="AH187" s="1937" t="s">
        <v>2512</v>
      </c>
      <c r="AI187" s="1938" t="s">
        <v>2211</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1721</v>
      </c>
      <c r="AY187" s="1937" t="s">
        <v>2512</v>
      </c>
      <c r="AZ187" s="1938" t="s">
        <v>2211</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1721</v>
      </c>
      <c r="BP187" s="1937" t="s">
        <v>2512</v>
      </c>
      <c r="BQ187" s="1938" t="s">
        <v>2211</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1142</v>
      </c>
      <c r="CH187" s="1937" t="s">
        <v>2512</v>
      </c>
      <c r="CI187" s="1938" t="s">
        <v>2211</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1142</v>
      </c>
      <c r="CY187" s="1937" t="s">
        <v>2512</v>
      </c>
      <c r="CZ187" s="1938"/>
      <c r="DA187" s="2924">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1722</v>
      </c>
      <c r="AH188" s="1941" t="s">
        <v>2511</v>
      </c>
      <c r="AI188" s="1938" t="s">
        <v>1723</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1722</v>
      </c>
      <c r="AY188" s="1941" t="s">
        <v>2511</v>
      </c>
      <c r="AZ188" s="1938" t="s">
        <v>749</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1722</v>
      </c>
      <c r="BP188" s="1941" t="s">
        <v>2511</v>
      </c>
      <c r="BQ188" s="1938" t="s">
        <v>748</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1407</v>
      </c>
      <c r="CH188" s="1941" t="s">
        <v>2511</v>
      </c>
      <c r="CI188" s="1938" t="s">
        <v>748</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1407</v>
      </c>
      <c r="CY188" s="1941" t="s">
        <v>2511</v>
      </c>
      <c r="CZ188" s="1938"/>
      <c r="DA188" s="2924">
        <v>0</v>
      </c>
      <c r="DB188" s="2698"/>
      <c r="DC188" s="2698"/>
      <c r="DD188" s="2698"/>
      <c r="DE188" s="2698"/>
      <c r="DF188" s="2698"/>
      <c r="DG188" s="2698"/>
      <c r="DH188" s="2698"/>
      <c r="DI188" s="2698"/>
      <c r="DJ188" s="2698"/>
      <c r="DK188" s="2915"/>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1724</v>
      </c>
      <c r="AH189" s="1941" t="s">
        <v>2212</v>
      </c>
      <c r="AI189" s="2011" t="s">
        <v>1725</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1724</v>
      </c>
      <c r="AY189" s="1941" t="s">
        <v>2212</v>
      </c>
      <c r="AZ189" s="2011" t="s">
        <v>1725</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1724</v>
      </c>
      <c r="BP189" s="1941" t="s">
        <v>2212</v>
      </c>
      <c r="BQ189" s="2011" t="s">
        <v>1725</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1143</v>
      </c>
      <c r="CH189" s="1941" t="s">
        <v>2212</v>
      </c>
      <c r="CI189" s="2011" t="s">
        <v>1725</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1143</v>
      </c>
      <c r="CY189" s="1941" t="s">
        <v>2212</v>
      </c>
      <c r="CZ189" s="2011"/>
      <c r="DA189" s="2924">
        <v>0</v>
      </c>
      <c r="DB189" s="2695"/>
      <c r="DC189" s="2695"/>
      <c r="DD189" s="2695"/>
      <c r="DE189" s="2695"/>
      <c r="DF189" s="2695"/>
      <c r="DG189" s="2695"/>
      <c r="DH189" s="2695"/>
      <c r="DI189" s="2695"/>
      <c r="DJ189" s="2698"/>
      <c r="DK189" s="2915"/>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2542</v>
      </c>
      <c r="AH190" s="1941" t="s">
        <v>2213</v>
      </c>
      <c r="AI190" s="2011" t="s">
        <v>1006</v>
      </c>
      <c r="AJ190" s="1944"/>
      <c r="AK190" s="1944"/>
      <c r="AL190" s="1944"/>
      <c r="AM190" s="1944"/>
      <c r="AN190" s="1944"/>
      <c r="AO190" s="1944"/>
      <c r="AP190" s="1944"/>
      <c r="AQ190" s="1944"/>
      <c r="AR190" s="1944"/>
      <c r="AS190" s="1958">
        <v>0.2</v>
      </c>
      <c r="AT190" s="1991"/>
      <c r="AU190" s="1990"/>
      <c r="AV190" s="1990"/>
      <c r="AX190" s="2010" t="s">
        <v>1726</v>
      </c>
      <c r="AY190" s="1941" t="s">
        <v>1727</v>
      </c>
      <c r="AZ190" s="2011" t="s">
        <v>1006</v>
      </c>
      <c r="BA190" s="1944"/>
      <c r="BB190" s="1944"/>
      <c r="BC190" s="1944"/>
      <c r="BD190" s="1944"/>
      <c r="BE190" s="1944"/>
      <c r="BF190" s="1944"/>
      <c r="BG190" s="1944"/>
      <c r="BH190" s="1944"/>
      <c r="BI190" s="1944"/>
      <c r="BJ190" s="1990">
        <v>0.2</v>
      </c>
      <c r="BK190" s="1991"/>
      <c r="BL190" s="1990"/>
      <c r="BM190" s="1990"/>
      <c r="BO190" s="2010" t="s">
        <v>1726</v>
      </c>
      <c r="BP190" s="1941" t="s">
        <v>1727</v>
      </c>
      <c r="BQ190" s="2011" t="s">
        <v>1006</v>
      </c>
      <c r="BR190" s="1944"/>
      <c r="BS190" s="1944"/>
      <c r="BT190" s="1944"/>
      <c r="BU190" s="1944"/>
      <c r="BV190" s="1944"/>
      <c r="BW190" s="1944"/>
      <c r="BX190" s="1944"/>
      <c r="BY190" s="1944"/>
      <c r="BZ190" s="1944"/>
      <c r="CA190" s="1990">
        <v>0.2</v>
      </c>
      <c r="CB190" s="1991"/>
      <c r="CC190" s="1990"/>
      <c r="CD190" s="1990"/>
      <c r="CE190" s="2275"/>
      <c r="CG190" s="2010" t="s">
        <v>1144</v>
      </c>
      <c r="CH190" s="1941" t="s">
        <v>1727</v>
      </c>
      <c r="CI190" s="2011" t="s">
        <v>1006</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1144</v>
      </c>
      <c r="CY190" s="1941" t="s">
        <v>1727</v>
      </c>
      <c r="CZ190" s="2011"/>
      <c r="DA190" s="2695">
        <f t="shared" si="153"/>
        <v>0</v>
      </c>
      <c r="DB190" s="2695"/>
      <c r="DC190" s="2695"/>
      <c r="DD190" s="2695"/>
      <c r="DE190" s="2695"/>
      <c r="DF190" s="2695"/>
      <c r="DG190" s="2695"/>
      <c r="DH190" s="2695"/>
      <c r="DI190" s="2695"/>
      <c r="DJ190" s="2698"/>
      <c r="DK190" s="2915"/>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1726</v>
      </c>
      <c r="AH191" s="1941" t="s">
        <v>2212</v>
      </c>
      <c r="AI191" s="2011" t="s">
        <v>1950</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1728</v>
      </c>
      <c r="AY191" s="1941" t="s">
        <v>2212</v>
      </c>
      <c r="AZ191" s="2011" t="s">
        <v>1950</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1728</v>
      </c>
      <c r="BP191" s="1941" t="s">
        <v>2212</v>
      </c>
      <c r="BQ191" s="2011" t="s">
        <v>1950</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1145</v>
      </c>
      <c r="CH191" s="1941" t="s">
        <v>2212</v>
      </c>
      <c r="CI191" s="2011" t="s">
        <v>1950</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1145</v>
      </c>
      <c r="CY191" s="1941" t="s">
        <v>2212</v>
      </c>
      <c r="CZ191" s="2011"/>
      <c r="DA191" s="2924">
        <v>0</v>
      </c>
      <c r="DB191" s="2695"/>
      <c r="DC191" s="2695"/>
      <c r="DD191" s="2695"/>
      <c r="DE191" s="2695"/>
      <c r="DF191" s="2695"/>
      <c r="DG191" s="2695"/>
      <c r="DH191" s="2695"/>
      <c r="DI191" s="2695"/>
      <c r="DJ191" s="2698"/>
      <c r="DK191" s="2915"/>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1729</v>
      </c>
      <c r="AH192" s="1941" t="s">
        <v>2511</v>
      </c>
      <c r="AI192" s="2011" t="s">
        <v>2214</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1729</v>
      </c>
      <c r="AY192" s="1941" t="s">
        <v>2511</v>
      </c>
      <c r="AZ192" s="2011" t="s">
        <v>2214</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1729</v>
      </c>
      <c r="BP192" s="1941" t="s">
        <v>2511</v>
      </c>
      <c r="BQ192" s="2011" t="s">
        <v>2214</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1729</v>
      </c>
      <c r="CH192" s="1941" t="s">
        <v>2511</v>
      </c>
      <c r="CI192" s="2011" t="s">
        <v>2214</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1729</v>
      </c>
      <c r="CY192" s="1941" t="s">
        <v>2511</v>
      </c>
      <c r="CZ192" s="2011"/>
      <c r="DA192" s="2924">
        <v>0</v>
      </c>
      <c r="DB192" s="2698"/>
      <c r="DC192" s="2698"/>
      <c r="DD192" s="2698"/>
      <c r="DE192" s="2698"/>
      <c r="DF192" s="2698"/>
      <c r="DG192" s="2698"/>
      <c r="DH192" s="2698"/>
      <c r="DI192" s="2698"/>
      <c r="DJ192" s="2698"/>
      <c r="DK192" s="2915"/>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1730</v>
      </c>
      <c r="AH193" s="1941" t="s">
        <v>2213</v>
      </c>
      <c r="AI193" s="2011" t="s">
        <v>1731</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1730</v>
      </c>
      <c r="AY193" s="1941" t="s">
        <v>2213</v>
      </c>
      <c r="AZ193" s="2011" t="s">
        <v>1731</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1730</v>
      </c>
      <c r="BP193" s="1941" t="s">
        <v>2213</v>
      </c>
      <c r="BQ193" s="2011" t="s">
        <v>1731</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1395</v>
      </c>
      <c r="CH193" s="1941" t="s">
        <v>2213</v>
      </c>
      <c r="CI193" s="2011" t="s">
        <v>1731</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1395</v>
      </c>
      <c r="CY193" s="1941" t="s">
        <v>2213</v>
      </c>
      <c r="CZ193" s="2011"/>
      <c r="DA193" s="2924">
        <v>0</v>
      </c>
      <c r="DB193" s="2695"/>
      <c r="DC193" s="2695"/>
      <c r="DD193" s="2695"/>
      <c r="DE193" s="2695"/>
      <c r="DF193" s="2695"/>
      <c r="DG193" s="2695"/>
      <c r="DH193" s="2695"/>
      <c r="DI193" s="2695"/>
      <c r="DJ193" s="2695"/>
      <c r="DK193" s="2915"/>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2887</v>
      </c>
      <c r="AH194" s="1941" t="s">
        <v>2213</v>
      </c>
      <c r="AI194" s="2011" t="s">
        <v>2888</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2887</v>
      </c>
      <c r="AY194" s="1941" t="s">
        <v>2213</v>
      </c>
      <c r="AZ194" s="2011" t="s">
        <v>2888</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2887</v>
      </c>
      <c r="BP194" s="1941" t="s">
        <v>2213</v>
      </c>
      <c r="BQ194" s="2011" t="s">
        <v>2888</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1396</v>
      </c>
      <c r="CH194" s="1941" t="s">
        <v>2213</v>
      </c>
      <c r="CI194" s="2011" t="s">
        <v>2888</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1396</v>
      </c>
      <c r="CY194" s="1941" t="s">
        <v>2213</v>
      </c>
      <c r="CZ194" s="2011"/>
      <c r="DA194" s="2924">
        <v>0</v>
      </c>
      <c r="DB194" s="2695"/>
      <c r="DC194" s="2695"/>
      <c r="DD194" s="2695"/>
      <c r="DE194" s="2695"/>
      <c r="DF194" s="2695"/>
      <c r="DG194" s="2695"/>
      <c r="DH194" s="2695"/>
      <c r="DI194" s="2695"/>
      <c r="DJ194" s="2695"/>
      <c r="DK194" s="2915"/>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algorithmName="SHA-512" hashValue="uUiEq5/T2kY8rXRfDLkOCYnZynjxxdE1Cd7zYleEbRxpbOGA/7zIYFGgXgASBQrQcYLKcq6tnP2fbfXY3JET0g==" saltValue="xql6slVrXwVH+QpBjMjEig==" spinCount="100000"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E6" sqref="E6"/>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4" t="s">
        <v>3514</v>
      </c>
    </row>
    <row r="2" spans="2:17" ht="4.5" customHeight="1"/>
    <row r="3" spans="2:17" ht="16.5">
      <c r="C3" s="1635" t="s">
        <v>3513</v>
      </c>
      <c r="D3" s="1636"/>
      <c r="E3" s="1637"/>
      <c r="F3" s="1637"/>
      <c r="G3" s="1637"/>
      <c r="H3" s="1637"/>
      <c r="I3" s="1638" t="s">
        <v>332</v>
      </c>
      <c r="J3" s="1639"/>
      <c r="K3" s="1639"/>
      <c r="L3" s="1640"/>
      <c r="M3" s="1640"/>
      <c r="N3" s="1640"/>
      <c r="O3" s="1640"/>
      <c r="P3" s="1640"/>
      <c r="Q3" s="1641"/>
    </row>
    <row r="4" spans="2:17" ht="14.25">
      <c r="C4" s="1642"/>
      <c r="D4" s="1643" t="s">
        <v>1952</v>
      </c>
      <c r="E4" s="1642"/>
      <c r="F4" s="1642"/>
      <c r="G4" s="1642"/>
      <c r="H4" s="1642"/>
      <c r="I4" s="1644" t="s">
        <v>2801</v>
      </c>
      <c r="J4" s="1640" t="s">
        <v>774</v>
      </c>
      <c r="K4" s="1645"/>
      <c r="L4" s="1644" t="s">
        <v>771</v>
      </c>
      <c r="M4" s="1640"/>
      <c r="N4" s="1645"/>
      <c r="O4" s="1644" t="s">
        <v>773</v>
      </c>
      <c r="P4" s="1640"/>
      <c r="Q4" s="1645"/>
    </row>
    <row r="5" spans="2:17">
      <c r="C5" s="1646" t="s">
        <v>423</v>
      </c>
      <c r="D5" s="1647"/>
      <c r="E5" s="1648"/>
      <c r="F5" s="1649"/>
      <c r="G5" s="1650"/>
      <c r="H5" s="1650"/>
      <c r="I5" s="1651" t="s">
        <v>2301</v>
      </c>
      <c r="J5" s="1651" t="s">
        <v>2302</v>
      </c>
      <c r="K5" s="1651" t="s">
        <v>2303</v>
      </c>
      <c r="L5" s="1651" t="s">
        <v>2301</v>
      </c>
      <c r="M5" s="1651" t="s">
        <v>2302</v>
      </c>
      <c r="N5" s="1651" t="s">
        <v>2303</v>
      </c>
      <c r="O5" s="1651" t="s">
        <v>2301</v>
      </c>
      <c r="P5" s="1651" t="s">
        <v>2302</v>
      </c>
      <c r="Q5" s="1651" t="s">
        <v>2303</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462</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2401</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2402</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2802</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2803</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480</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1795</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2401</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2402</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2802</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2803</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480</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1970</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2401</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2402</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2802</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2803</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480</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2088</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2401</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2402</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2802</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2803</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480</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1972</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2401</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2402</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2802</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2803</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480</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478</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2401</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2402</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2802</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2803</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480</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1974</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2401</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2402</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2802</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2803</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480</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521</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2401</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2402</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2802</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2803</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480</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2089</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2401</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2402</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2802</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2803</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480</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5">
      <c r="C62" s="1635" t="s">
        <v>3512</v>
      </c>
      <c r="D62" s="1636"/>
      <c r="E62" s="1637"/>
      <c r="F62" s="1637"/>
      <c r="G62" s="1637"/>
      <c r="H62" s="1637"/>
      <c r="I62" s="1638" t="s">
        <v>332</v>
      </c>
      <c r="J62" s="1639"/>
      <c r="K62" s="1639"/>
      <c r="L62" s="1640"/>
      <c r="M62" s="1640"/>
      <c r="N62" s="1640"/>
      <c r="O62" s="1640"/>
      <c r="P62" s="1640"/>
      <c r="Q62" s="1641"/>
    </row>
    <row r="63" spans="3:17" ht="14.25">
      <c r="C63" s="1642"/>
      <c r="D63" s="1643" t="s">
        <v>1952</v>
      </c>
      <c r="E63" s="1642"/>
      <c r="F63" s="1642"/>
      <c r="G63" s="1642"/>
      <c r="H63" s="1642"/>
      <c r="I63" s="1644" t="s">
        <v>772</v>
      </c>
      <c r="J63" s="1640" t="s">
        <v>774</v>
      </c>
      <c r="K63" s="1645"/>
      <c r="L63" s="1644" t="s">
        <v>771</v>
      </c>
      <c r="M63" s="1640"/>
      <c r="N63" s="1645"/>
      <c r="O63" s="1644" t="s">
        <v>773</v>
      </c>
      <c r="P63" s="1640"/>
      <c r="Q63" s="1645"/>
    </row>
    <row r="64" spans="3:17">
      <c r="C64" s="1646" t="s">
        <v>423</v>
      </c>
      <c r="D64" s="1647"/>
      <c r="E64" s="1648"/>
      <c r="F64" s="1649"/>
      <c r="G64" s="1672"/>
      <c r="H64" s="1672"/>
      <c r="I64" s="1651" t="s">
        <v>518</v>
      </c>
      <c r="J64" s="1651" t="s">
        <v>519</v>
      </c>
      <c r="K64" s="1651" t="s">
        <v>520</v>
      </c>
      <c r="L64" s="1651" t="s">
        <v>518</v>
      </c>
      <c r="M64" s="1651" t="s">
        <v>519</v>
      </c>
      <c r="N64" s="1651" t="s">
        <v>520</v>
      </c>
      <c r="O64" s="1651" t="s">
        <v>518</v>
      </c>
      <c r="P64" s="1651" t="s">
        <v>519</v>
      </c>
      <c r="Q64" s="1651" t="s">
        <v>520</v>
      </c>
    </row>
    <row r="65" spans="3:17">
      <c r="C65" s="1655" t="s">
        <v>462</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2401</v>
      </c>
      <c r="E66" s="863"/>
      <c r="F66" s="1659">
        <v>1</v>
      </c>
      <c r="G66" s="1675"/>
      <c r="H66" s="1675"/>
      <c r="I66" s="1676"/>
      <c r="J66" s="1676"/>
      <c r="K66" s="1676"/>
      <c r="L66" s="1676"/>
      <c r="M66" s="1676"/>
      <c r="N66" s="1676"/>
      <c r="O66" s="1676"/>
      <c r="P66" s="1676"/>
      <c r="Q66" s="1676"/>
    </row>
    <row r="67" spans="3:17" ht="13.5" hidden="1" customHeight="1">
      <c r="C67" s="1658"/>
      <c r="D67" s="1664" t="s">
        <v>2804</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1795</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2401</v>
      </c>
      <c r="E69" s="863"/>
      <c r="F69" s="1659">
        <v>1</v>
      </c>
      <c r="G69" s="1675"/>
      <c r="H69" s="1675"/>
      <c r="I69" s="1676"/>
      <c r="J69" s="1676"/>
      <c r="K69" s="1676"/>
      <c r="L69" s="1676"/>
      <c r="M69" s="1676"/>
      <c r="N69" s="1676"/>
      <c r="O69" s="1676"/>
      <c r="P69" s="1676"/>
      <c r="Q69" s="1676"/>
    </row>
    <row r="70" spans="3:17" hidden="1">
      <c r="C70" s="1658"/>
      <c r="D70" s="1664" t="s">
        <v>2804</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1970</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2401</v>
      </c>
      <c r="E72" s="863"/>
      <c r="F72" s="1659">
        <v>1</v>
      </c>
      <c r="G72" s="1675"/>
      <c r="H72" s="1675"/>
      <c r="I72" s="1676"/>
      <c r="J72" s="1676"/>
      <c r="K72" s="1676"/>
      <c r="L72" s="1676"/>
      <c r="M72" s="1676"/>
      <c r="N72" s="1676"/>
      <c r="O72" s="1676"/>
      <c r="P72" s="1676"/>
      <c r="Q72" s="1676"/>
    </row>
    <row r="73" spans="3:17" hidden="1">
      <c r="C73" s="1658"/>
      <c r="D73" s="1664" t="s">
        <v>2804</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2088</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2401</v>
      </c>
      <c r="E75" s="863"/>
      <c r="F75" s="1659">
        <v>1</v>
      </c>
      <c r="G75" s="1675"/>
      <c r="H75" s="1675"/>
      <c r="I75" s="1676"/>
      <c r="J75" s="1676"/>
      <c r="K75" s="1676"/>
      <c r="L75" s="1676"/>
      <c r="M75" s="1676"/>
      <c r="N75" s="1676"/>
      <c r="O75" s="1676"/>
      <c r="P75" s="1676"/>
      <c r="Q75" s="1676"/>
    </row>
    <row r="76" spans="3:17" hidden="1">
      <c r="C76" s="1658"/>
      <c r="D76" s="1664" t="s">
        <v>2804</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1972</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2401</v>
      </c>
      <c r="E78" s="863"/>
      <c r="F78" s="1659">
        <v>1</v>
      </c>
      <c r="G78" s="1675"/>
      <c r="H78" s="1675"/>
      <c r="I78" s="1676"/>
      <c r="J78" s="1676"/>
      <c r="K78" s="1676"/>
      <c r="L78" s="1676"/>
      <c r="M78" s="1676"/>
      <c r="N78" s="1676"/>
      <c r="O78" s="1676"/>
      <c r="P78" s="1676"/>
      <c r="Q78" s="1676"/>
    </row>
    <row r="79" spans="3:17" hidden="1">
      <c r="C79" s="1658"/>
      <c r="D79" s="1664" t="s">
        <v>2804</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478</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2401</v>
      </c>
      <c r="E81" s="863"/>
      <c r="F81" s="1659">
        <v>1</v>
      </c>
      <c r="G81" s="1675"/>
      <c r="H81" s="1675"/>
      <c r="I81" s="1676"/>
      <c r="J81" s="1676"/>
      <c r="K81" s="1676"/>
      <c r="L81" s="1676"/>
      <c r="M81" s="1676"/>
      <c r="N81" s="1676"/>
      <c r="O81" s="1676"/>
      <c r="P81" s="1676"/>
      <c r="Q81" s="1676"/>
    </row>
    <row r="82" spans="3:21" hidden="1">
      <c r="C82" s="1679"/>
      <c r="D82" s="1664" t="s">
        <v>2804</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1974</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2401</v>
      </c>
      <c r="E84" s="863"/>
      <c r="F84" s="1659">
        <v>1</v>
      </c>
      <c r="G84" s="1675"/>
      <c r="H84" s="1675"/>
      <c r="I84" s="1676"/>
      <c r="J84" s="1676"/>
      <c r="K84" s="1676"/>
      <c r="L84" s="1676"/>
      <c r="M84" s="1676"/>
      <c r="N84" s="1676"/>
      <c r="O84" s="1676"/>
      <c r="P84" s="1676"/>
      <c r="Q84" s="1676"/>
    </row>
    <row r="85" spans="3:21" hidden="1">
      <c r="C85" s="1658"/>
      <c r="D85" s="1664" t="s">
        <v>2804</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474</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2401</v>
      </c>
      <c r="E87" s="863"/>
      <c r="F87" s="1659">
        <v>1</v>
      </c>
      <c r="G87" s="1675"/>
      <c r="H87" s="1675"/>
      <c r="I87" s="1680"/>
      <c r="J87" s="1680"/>
      <c r="K87" s="1680"/>
      <c r="L87" s="1680"/>
      <c r="M87" s="1680"/>
      <c r="N87" s="1680"/>
      <c r="O87" s="1680"/>
      <c r="P87" s="1680"/>
      <c r="Q87" s="1680"/>
    </row>
    <row r="88" spans="3:21" hidden="1">
      <c r="C88" s="1658"/>
      <c r="D88" s="1664" t="s">
        <v>2804</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2089</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2401</v>
      </c>
      <c r="E90" s="863"/>
      <c r="F90" s="1659">
        <v>1</v>
      </c>
      <c r="G90" s="1681"/>
      <c r="H90" s="1681"/>
      <c r="I90" s="1676"/>
      <c r="J90" s="1676"/>
      <c r="K90" s="1676"/>
      <c r="L90" s="1676"/>
      <c r="M90" s="1676"/>
      <c r="N90" s="1676"/>
      <c r="O90" s="1676"/>
      <c r="P90" s="1676"/>
      <c r="Q90" s="1676"/>
    </row>
    <row r="91" spans="3:21" hidden="1">
      <c r="C91" s="1679"/>
      <c r="D91" s="1664" t="s">
        <v>2804</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5">
      <c r="C93" s="1635" t="s">
        <v>3515</v>
      </c>
      <c r="D93" s="1636"/>
      <c r="E93" s="1637"/>
      <c r="F93" s="1637"/>
      <c r="G93" s="1637"/>
      <c r="H93" s="1637"/>
      <c r="I93" s="1637"/>
      <c r="J93" s="1637"/>
      <c r="K93" s="1637"/>
      <c r="L93" s="1637"/>
      <c r="M93" s="1637"/>
      <c r="N93" s="1637"/>
      <c r="O93" s="1637"/>
      <c r="P93" s="1637"/>
      <c r="Q93" s="1637"/>
    </row>
    <row r="94" spans="3:21">
      <c r="C94" s="1643" t="s">
        <v>1763</v>
      </c>
      <c r="D94" s="1636"/>
      <c r="E94" s="1637"/>
      <c r="F94" s="1637"/>
      <c r="G94" s="1637"/>
      <c r="H94" s="1637"/>
      <c r="I94" s="1637"/>
      <c r="J94" s="1637"/>
      <c r="K94" s="1637"/>
      <c r="L94" s="1637"/>
      <c r="M94" s="1637"/>
      <c r="N94" s="1637"/>
      <c r="O94" s="1637"/>
      <c r="P94" s="1637"/>
      <c r="Q94" s="1637"/>
    </row>
    <row r="95" spans="3:21">
      <c r="D95" s="1637" t="s">
        <v>2805</v>
      </c>
      <c r="F95" s="2142" t="s">
        <v>1079</v>
      </c>
      <c r="G95" s="1637"/>
      <c r="H95" s="1637"/>
      <c r="I95" s="2130" t="e">
        <f>係数!D5*1000</f>
        <v>#VALUE!</v>
      </c>
      <c r="J95" s="1685" t="str">
        <f>係数!C5</f>
        <v>根拠を記入してください</v>
      </c>
      <c r="K95" s="1671"/>
      <c r="L95" s="1671"/>
      <c r="M95" s="1671" t="s">
        <v>1800</v>
      </c>
      <c r="N95" s="1671"/>
      <c r="O95" s="1671" t="e">
        <f>係数!J89*1000</f>
        <v>#VALUE!</v>
      </c>
      <c r="P95" s="3035" t="s">
        <v>3511</v>
      </c>
      <c r="Q95" s="1686"/>
    </row>
    <row r="96" spans="3:21">
      <c r="C96" s="1635"/>
      <c r="D96" s="1637"/>
      <c r="F96" s="2142" t="s">
        <v>180</v>
      </c>
      <c r="G96" s="1637"/>
      <c r="H96" s="1637"/>
      <c r="I96" s="2130" t="e">
        <f>I95/J96</f>
        <v>#VALUE!</v>
      </c>
      <c r="J96" s="1689">
        <v>9.76</v>
      </c>
      <c r="K96" s="1687" t="s">
        <v>2304</v>
      </c>
      <c r="L96" s="1637"/>
      <c r="M96" s="1637"/>
      <c r="N96" s="1637"/>
      <c r="O96" s="1637"/>
      <c r="P96" s="1637"/>
      <c r="Q96" s="1688"/>
      <c r="U96" t="e">
        <f>O95/J96</f>
        <v>#VALUE!</v>
      </c>
    </row>
    <row r="97" spans="2:19">
      <c r="C97" s="1635"/>
      <c r="D97" s="1637" t="s">
        <v>1802</v>
      </c>
      <c r="F97" s="2142" t="s">
        <v>180</v>
      </c>
      <c r="G97" s="1637"/>
      <c r="H97" s="1637"/>
      <c r="I97" s="2130">
        <v>4.9799999999999997E-2</v>
      </c>
      <c r="J97" s="1689"/>
      <c r="K97" s="1637"/>
      <c r="L97" s="1637"/>
      <c r="M97" s="1637"/>
      <c r="N97" s="1637"/>
      <c r="O97" s="1637"/>
      <c r="P97" s="1637"/>
      <c r="Q97" s="1688"/>
    </row>
    <row r="98" spans="2:19" hidden="1">
      <c r="C98" s="1635"/>
      <c r="D98" s="1637" t="s">
        <v>1803</v>
      </c>
      <c r="F98" s="2142" t="s">
        <v>180</v>
      </c>
      <c r="G98" s="1637"/>
      <c r="H98" s="1637"/>
      <c r="I98" s="2130">
        <v>5.7000000000000002E-2</v>
      </c>
      <c r="J98" s="1689"/>
      <c r="K98" s="1637"/>
      <c r="L98" s="1637"/>
      <c r="M98" s="1637"/>
      <c r="N98" s="1637"/>
      <c r="O98" s="1637"/>
      <c r="P98" s="1637"/>
      <c r="Q98" s="1688"/>
    </row>
    <row r="99" spans="2:19">
      <c r="C99" s="1635"/>
      <c r="D99" s="1637" t="s">
        <v>1804</v>
      </c>
      <c r="F99" s="2142" t="s">
        <v>180</v>
      </c>
      <c r="G99" s="1637"/>
      <c r="H99" s="1637"/>
      <c r="I99" s="2130">
        <v>6.7799999999999999E-2</v>
      </c>
      <c r="J99" s="1689"/>
      <c r="K99" s="1637"/>
      <c r="L99" s="1637"/>
      <c r="M99" s="1637"/>
      <c r="N99" s="1637"/>
      <c r="O99" s="1637"/>
      <c r="P99" s="1637"/>
      <c r="Q99" s="1688"/>
    </row>
    <row r="100" spans="2:19">
      <c r="C100" s="1635"/>
      <c r="D100" s="1637" t="s">
        <v>1805</v>
      </c>
      <c r="F100" s="2142" t="s">
        <v>180</v>
      </c>
      <c r="G100" s="1637"/>
      <c r="H100" s="1637"/>
      <c r="I100" s="2130">
        <v>6.93E-2</v>
      </c>
      <c r="J100" s="1689"/>
      <c r="K100" s="1637"/>
      <c r="L100" s="1637"/>
      <c r="M100" s="1637"/>
      <c r="N100" s="1637"/>
      <c r="O100" s="1637"/>
      <c r="P100" s="1637"/>
      <c r="Q100" s="1688"/>
    </row>
    <row r="101" spans="2:19">
      <c r="C101" s="1635"/>
      <c r="D101" s="1637" t="s">
        <v>1806</v>
      </c>
      <c r="F101" s="2142" t="s">
        <v>180</v>
      </c>
      <c r="G101" s="1637"/>
      <c r="H101" s="1637"/>
      <c r="I101" s="2130">
        <f>(I99+I100)/2</f>
        <v>6.855E-2</v>
      </c>
      <c r="J101" s="2131" t="s">
        <v>1807</v>
      </c>
      <c r="K101" s="1637"/>
      <c r="L101" s="1637"/>
      <c r="M101" s="1637"/>
      <c r="N101" s="1637"/>
      <c r="O101" s="1637"/>
      <c r="P101" s="1637"/>
      <c r="Q101" s="1688"/>
    </row>
    <row r="102" spans="2:19">
      <c r="C102" s="1635"/>
      <c r="D102" s="1637" t="s">
        <v>1630</v>
      </c>
      <c r="F102" s="2142" t="s">
        <v>180</v>
      </c>
      <c r="G102" s="1637"/>
      <c r="H102" s="1637"/>
      <c r="I102" s="2130">
        <v>5.8999999999999997E-2</v>
      </c>
      <c r="J102" s="1690"/>
      <c r="K102" s="1691"/>
      <c r="L102" s="1691"/>
      <c r="M102" s="1691"/>
      <c r="N102" s="1691"/>
      <c r="O102" s="1691"/>
      <c r="P102" s="1691"/>
      <c r="Q102" s="1692"/>
    </row>
    <row r="103" spans="2:19">
      <c r="B103" s="828"/>
      <c r="C103" s="1637" t="s">
        <v>3146</v>
      </c>
      <c r="D103" s="828"/>
      <c r="E103" s="1637"/>
      <c r="F103" s="1637"/>
      <c r="G103" s="1637"/>
      <c r="H103" s="1637"/>
      <c r="I103" s="1693"/>
      <c r="J103" s="1637"/>
      <c r="K103" s="1637"/>
      <c r="L103" s="1637"/>
      <c r="M103" s="1637"/>
      <c r="N103" s="1637"/>
      <c r="O103" s="1637"/>
      <c r="P103" s="1637"/>
      <c r="Q103" s="1637"/>
      <c r="R103" s="828"/>
      <c r="S103" s="828"/>
    </row>
    <row r="104" spans="2:19">
      <c r="B104" s="828"/>
      <c r="C104" s="1636"/>
      <c r="D104" s="1637" t="s">
        <v>364</v>
      </c>
      <c r="E104" s="828"/>
      <c r="F104" s="1642" t="s">
        <v>3518</v>
      </c>
      <c r="G104" s="1637"/>
      <c r="H104" s="1637"/>
      <c r="I104" s="1637" t="s">
        <v>1350</v>
      </c>
      <c r="J104" s="1637"/>
      <c r="K104" s="1643" t="s">
        <v>1351</v>
      </c>
      <c r="L104" s="1637"/>
      <c r="M104" s="1637" t="s">
        <v>364</v>
      </c>
      <c r="N104" s="1637"/>
      <c r="O104" s="1637" t="s">
        <v>1350</v>
      </c>
      <c r="P104" s="1637"/>
      <c r="Q104" s="1643" t="s">
        <v>1351</v>
      </c>
      <c r="R104" s="828"/>
      <c r="S104" s="828"/>
    </row>
    <row r="105" spans="2:19">
      <c r="B105" s="828"/>
      <c r="C105" s="1636"/>
      <c r="D105" s="2465" t="s">
        <v>3069</v>
      </c>
      <c r="E105" s="2465"/>
      <c r="F105" s="2465"/>
      <c r="G105" s="1637"/>
      <c r="H105" s="1637"/>
      <c r="I105" s="3036">
        <v>6.8300000000000001E-4</v>
      </c>
      <c r="J105" s="1637"/>
      <c r="K105" s="3036">
        <v>6.8800000000000003E-4</v>
      </c>
      <c r="L105" s="1637"/>
      <c r="M105" s="1637" t="str">
        <f>D144</f>
        <v>(株)トヨタタービンアンドシステム</v>
      </c>
      <c r="N105" s="1637"/>
      <c r="O105" s="3036">
        <f>I144</f>
        <v>4.9200000000000003E-4</v>
      </c>
      <c r="P105" s="1637"/>
      <c r="Q105" s="3036">
        <f>K144</f>
        <v>4.7699999999999999E-4</v>
      </c>
      <c r="R105" s="828"/>
      <c r="S105" s="828"/>
    </row>
    <row r="106" spans="2:19">
      <c r="B106" s="828"/>
      <c r="C106" s="1636"/>
      <c r="D106" s="2465" t="s">
        <v>3070</v>
      </c>
      <c r="E106" s="2465"/>
      <c r="F106" s="2465"/>
      <c r="G106" s="1637"/>
      <c r="H106" s="1637"/>
      <c r="I106" s="3036">
        <v>5.71E-4</v>
      </c>
      <c r="J106" s="1637"/>
      <c r="K106" s="3036">
        <v>5.7300000000000005E-4</v>
      </c>
      <c r="L106" s="1637"/>
      <c r="M106" s="1637" t="str">
        <f t="shared" ref="M106:M143" si="36">D145</f>
        <v>(株)とんでん</v>
      </c>
      <c r="N106" s="1637"/>
      <c r="O106" s="3036">
        <f t="shared" ref="O106:O143" si="37">I145</f>
        <v>4.95E-4</v>
      </c>
      <c r="P106" s="1637"/>
      <c r="Q106" s="3036">
        <f t="shared" ref="Q106:Q143" si="38">K145</f>
        <v>4.7899999999999999E-4</v>
      </c>
      <c r="R106" s="828"/>
      <c r="S106" s="828"/>
    </row>
    <row r="107" spans="2:19">
      <c r="B107" s="828"/>
      <c r="C107" s="1636"/>
      <c r="D107" s="2465" t="s">
        <v>3071</v>
      </c>
      <c r="E107" s="2465"/>
      <c r="F107" s="2465"/>
      <c r="G107" s="1637"/>
      <c r="H107" s="1637"/>
      <c r="I107" s="3036">
        <v>5.0500000000000002E-4</v>
      </c>
      <c r="J107" s="1637"/>
      <c r="K107" s="3036">
        <v>4.9600000000000002E-4</v>
      </c>
      <c r="L107" s="1637"/>
      <c r="M107" s="1637" t="str">
        <f t="shared" si="36"/>
        <v>(株)ナンワエナジー</v>
      </c>
      <c r="N107" s="1637"/>
      <c r="O107" s="3036">
        <f t="shared" si="37"/>
        <v>6.02E-4</v>
      </c>
      <c r="P107" s="1637"/>
      <c r="Q107" s="3036">
        <f t="shared" si="38"/>
        <v>6.0099999999999997E-4</v>
      </c>
      <c r="R107" s="828"/>
      <c r="S107" s="828"/>
    </row>
    <row r="108" spans="2:19">
      <c r="B108" s="828"/>
      <c r="C108" s="1636"/>
      <c r="D108" s="2465" t="s">
        <v>3072</v>
      </c>
      <c r="E108" s="2465"/>
      <c r="F108" s="2465"/>
      <c r="G108" s="1637"/>
      <c r="H108" s="1637"/>
      <c r="I108" s="3036">
        <v>4.9700000000000005E-4</v>
      </c>
      <c r="J108" s="1637"/>
      <c r="K108" s="3036">
        <v>4.9399999999999997E-4</v>
      </c>
      <c r="L108" s="1637"/>
      <c r="M108" s="1637" t="str">
        <f t="shared" si="36"/>
        <v>(株)日本セレモニー</v>
      </c>
      <c r="N108" s="1637"/>
      <c r="O108" s="3036">
        <f t="shared" si="37"/>
        <v>6.0999999999999997E-4</v>
      </c>
      <c r="P108" s="1637"/>
      <c r="Q108" s="3036">
        <f t="shared" si="38"/>
        <v>6.96E-4</v>
      </c>
      <c r="R108" s="828"/>
      <c r="S108" s="828"/>
    </row>
    <row r="109" spans="2:19">
      <c r="B109" s="828"/>
      <c r="C109" s="1636"/>
      <c r="D109" s="2465" t="s">
        <v>3073</v>
      </c>
      <c r="E109" s="2465"/>
      <c r="F109" s="2465"/>
      <c r="G109" s="1637"/>
      <c r="H109" s="1637"/>
      <c r="I109" s="3036">
        <v>6.4700000000000001E-4</v>
      </c>
      <c r="J109" s="1637"/>
      <c r="K109" s="3036">
        <v>6.4000000000000005E-4</v>
      </c>
      <c r="L109" s="1637"/>
      <c r="M109" s="1637" t="str">
        <f t="shared" si="36"/>
        <v>(株)Ｖ－Ｐｏｗｅｒ</v>
      </c>
      <c r="N109" s="1637"/>
      <c r="O109" s="3036">
        <f t="shared" si="37"/>
        <v>2.5399999999999999E-4</v>
      </c>
      <c r="P109" s="1637"/>
      <c r="Q109" s="3036">
        <f t="shared" si="38"/>
        <v>5.6099999999999998E-4</v>
      </c>
      <c r="R109" s="828"/>
      <c r="S109" s="828"/>
    </row>
    <row r="110" spans="2:19">
      <c r="B110" s="828"/>
      <c r="C110" s="1636"/>
      <c r="D110" s="2465" t="s">
        <v>3074</v>
      </c>
      <c r="E110" s="2465"/>
      <c r="F110" s="2465"/>
      <c r="G110" s="1637"/>
      <c r="H110" s="1637"/>
      <c r="I110" s="3036">
        <v>5.31E-4</v>
      </c>
      <c r="J110" s="1637"/>
      <c r="K110" s="3036">
        <v>5.2300000000000003E-4</v>
      </c>
      <c r="L110" s="1637"/>
      <c r="M110" s="1637" t="str">
        <f t="shared" si="36"/>
        <v>(株)フォレストパワー</v>
      </c>
      <c r="N110" s="1637"/>
      <c r="O110" s="3036">
        <f t="shared" si="37"/>
        <v>1.9000000000000001E-4</v>
      </c>
      <c r="P110" s="1637"/>
      <c r="Q110" s="3036">
        <f t="shared" si="38"/>
        <v>6.9899999999999997E-4</v>
      </c>
      <c r="R110" s="828"/>
      <c r="S110" s="828"/>
    </row>
    <row r="111" spans="2:19">
      <c r="B111" s="828"/>
      <c r="C111" s="1636"/>
      <c r="D111" s="2465" t="s">
        <v>3075</v>
      </c>
      <c r="E111" s="2465"/>
      <c r="F111" s="2465"/>
      <c r="G111" s="1637"/>
      <c r="H111" s="1637"/>
      <c r="I111" s="3036">
        <v>7.0600000000000003E-4</v>
      </c>
      <c r="J111" s="1637"/>
      <c r="K111" s="3036">
        <v>7.0899999999999999E-4</v>
      </c>
      <c r="L111" s="1637"/>
      <c r="M111" s="1637" t="str">
        <f t="shared" si="36"/>
        <v>(株)ベイサイドエナジー</v>
      </c>
      <c r="N111" s="1637"/>
      <c r="O111" s="3036">
        <f t="shared" si="37"/>
        <v>5.8100000000000003E-4</v>
      </c>
      <c r="P111" s="1637"/>
      <c r="Q111" s="3036">
        <f t="shared" si="38"/>
        <v>5.62E-4</v>
      </c>
      <c r="R111" s="828"/>
      <c r="S111" s="828"/>
    </row>
    <row r="112" spans="2:19">
      <c r="B112" s="828"/>
      <c r="C112" s="1636"/>
      <c r="D112" s="2465" t="s">
        <v>3076</v>
      </c>
      <c r="E112" s="2465"/>
      <c r="F112" s="2465"/>
      <c r="G112" s="1637"/>
      <c r="H112" s="1637"/>
      <c r="I112" s="3036">
        <v>6.7599999999999995E-4</v>
      </c>
      <c r="J112" s="1637"/>
      <c r="K112" s="3036">
        <v>6.8800000000000003E-4</v>
      </c>
      <c r="L112" s="1637"/>
      <c r="M112" s="1637" t="str">
        <f t="shared" si="36"/>
        <v>京葉瓦斯(株)</v>
      </c>
      <c r="N112" s="1637"/>
      <c r="O112" s="3036">
        <f t="shared" si="37"/>
        <v>4.9399999999999997E-4</v>
      </c>
      <c r="P112" s="1637"/>
      <c r="Q112" s="3036">
        <f t="shared" si="38"/>
        <v>4.7800000000000002E-4</v>
      </c>
      <c r="R112" s="828"/>
      <c r="S112" s="828"/>
    </row>
    <row r="113" spans="2:19">
      <c r="B113" s="828"/>
      <c r="C113" s="1636"/>
      <c r="D113" s="2465" t="s">
        <v>3077</v>
      </c>
      <c r="E113" s="2465"/>
      <c r="F113" s="2465"/>
      <c r="G113" s="1637"/>
      <c r="H113" s="1637"/>
      <c r="I113" s="3036">
        <v>5.8399999999999999E-4</v>
      </c>
      <c r="J113" s="1637"/>
      <c r="K113" s="3036">
        <v>5.9800000000000001E-4</v>
      </c>
      <c r="L113" s="1637"/>
      <c r="M113" s="1637" t="str">
        <f t="shared" si="36"/>
        <v>サミットエナジー(株)</v>
      </c>
      <c r="N113" s="1637"/>
      <c r="O113" s="3036">
        <f t="shared" si="37"/>
        <v>4.1300000000000001E-4</v>
      </c>
      <c r="P113" s="1637"/>
      <c r="Q113" s="3036">
        <f t="shared" si="38"/>
        <v>5.0299999999999997E-4</v>
      </c>
      <c r="R113" s="828"/>
      <c r="S113" s="828"/>
    </row>
    <row r="114" spans="2:19">
      <c r="B114" s="828"/>
      <c r="C114" s="1636"/>
      <c r="D114" s="2465" t="s">
        <v>3078</v>
      </c>
      <c r="E114" s="2465"/>
      <c r="F114" s="2465"/>
      <c r="G114" s="1637"/>
      <c r="H114" s="1637"/>
      <c r="I114" s="3036">
        <v>8.1599999999999999E-4</v>
      </c>
      <c r="J114" s="1637"/>
      <c r="K114" s="3036">
        <v>8.1599999999999999E-4</v>
      </c>
      <c r="L114" s="1637"/>
      <c r="M114" s="1637" t="str">
        <f t="shared" si="36"/>
        <v>ＪＸ日鉱日石エネルギー(株)</v>
      </c>
      <c r="N114" s="1637"/>
      <c r="O114" s="3036">
        <f t="shared" si="37"/>
        <v>3.2499999999999999E-4</v>
      </c>
      <c r="P114" s="1637"/>
      <c r="Q114" s="3036">
        <f t="shared" si="38"/>
        <v>3.0600000000000001E-4</v>
      </c>
      <c r="R114" s="828"/>
      <c r="S114" s="828"/>
    </row>
    <row r="115" spans="2:19">
      <c r="B115" s="828"/>
      <c r="C115" s="1636"/>
      <c r="D115" s="2465" t="s">
        <v>3079</v>
      </c>
      <c r="E115" s="2465"/>
      <c r="F115" s="2465"/>
      <c r="G115" s="1637"/>
      <c r="H115" s="1637"/>
      <c r="I115" s="3036">
        <v>4.0999999999999999E-4</v>
      </c>
      <c r="J115" s="1637"/>
      <c r="K115" s="3036">
        <v>3.3700000000000001E-4</v>
      </c>
      <c r="L115" s="1637"/>
      <c r="M115" s="1637" t="str">
        <f t="shared" si="36"/>
        <v>ＪＬエナジー(株)</v>
      </c>
      <c r="N115" s="1637"/>
      <c r="O115" s="3036">
        <f t="shared" si="37"/>
        <v>5.53E-4</v>
      </c>
      <c r="P115" s="1637"/>
      <c r="Q115" s="3036">
        <f t="shared" si="38"/>
        <v>5.3399999999999997E-4</v>
      </c>
      <c r="R115" s="828"/>
      <c r="S115" s="828"/>
    </row>
    <row r="116" spans="2:19">
      <c r="B116" s="828"/>
      <c r="C116" s="1636"/>
      <c r="D116" s="2465" t="s">
        <v>3080</v>
      </c>
      <c r="E116" s="2465"/>
      <c r="F116" s="2465"/>
      <c r="G116" s="1637"/>
      <c r="H116" s="1637"/>
      <c r="I116" s="3036">
        <v>1.9000000000000001E-4</v>
      </c>
      <c r="J116" s="1637"/>
      <c r="K116" s="3036">
        <v>1.83E-4</v>
      </c>
      <c r="L116" s="1637"/>
      <c r="M116" s="1637" t="str">
        <f t="shared" si="36"/>
        <v>志賀高原リゾート開発(株)</v>
      </c>
      <c r="N116" s="1637"/>
      <c r="O116" s="3036">
        <f t="shared" si="37"/>
        <v>3.6000000000000001E-5</v>
      </c>
      <c r="P116" s="1637"/>
      <c r="Q116" s="3036">
        <f t="shared" si="38"/>
        <v>5.7600000000000001E-4</v>
      </c>
      <c r="R116" s="828"/>
      <c r="S116" s="828"/>
    </row>
    <row r="117" spans="2:19">
      <c r="B117" s="828"/>
      <c r="C117" s="1636"/>
      <c r="D117" s="2465" t="s">
        <v>3081</v>
      </c>
      <c r="E117" s="2465"/>
      <c r="F117" s="2465"/>
      <c r="G117" s="1637"/>
      <c r="H117" s="1637"/>
      <c r="I117" s="3036">
        <v>6.6200000000000005E-4</v>
      </c>
      <c r="J117" s="1637"/>
      <c r="K117" s="3036">
        <v>4.6900000000000002E-4</v>
      </c>
      <c r="L117" s="1637"/>
      <c r="M117" s="1637" t="str">
        <f t="shared" si="36"/>
        <v>シナネン(株)</v>
      </c>
      <c r="N117" s="1637"/>
      <c r="O117" s="3036">
        <f t="shared" si="37"/>
        <v>4.1599999999999997E-4</v>
      </c>
      <c r="P117" s="1637"/>
      <c r="Q117" s="3036">
        <f t="shared" si="38"/>
        <v>5.6300000000000002E-4</v>
      </c>
      <c r="R117" s="828"/>
      <c r="S117" s="828"/>
    </row>
    <row r="118" spans="2:19">
      <c r="B118" s="828"/>
      <c r="C118" s="1636"/>
      <c r="D118" s="2465" t="s">
        <v>3082</v>
      </c>
      <c r="E118" s="2465"/>
      <c r="F118" s="2465"/>
      <c r="G118" s="1637"/>
      <c r="H118" s="1637"/>
      <c r="I118" s="3036">
        <v>3.1599999999999998E-4</v>
      </c>
      <c r="J118" s="1637"/>
      <c r="K118" s="3036">
        <v>5.5000000000000003E-4</v>
      </c>
      <c r="L118" s="1637"/>
      <c r="M118" s="1637" t="str">
        <f t="shared" si="36"/>
        <v>昭和シェル石油(株)</v>
      </c>
      <c r="N118" s="1637"/>
      <c r="O118" s="3036">
        <f t="shared" si="37"/>
        <v>3.7199999999999999E-4</v>
      </c>
      <c r="P118" s="1637"/>
      <c r="Q118" s="3036">
        <f t="shared" si="38"/>
        <v>3.5300000000000002E-4</v>
      </c>
      <c r="R118" s="828"/>
      <c r="S118" s="828"/>
    </row>
    <row r="119" spans="2:19">
      <c r="B119" s="828"/>
      <c r="C119" s="1637"/>
      <c r="D119" s="2465" t="s">
        <v>3083</v>
      </c>
      <c r="E119" s="2465"/>
      <c r="F119" s="2465"/>
      <c r="G119" s="1637"/>
      <c r="H119" s="1637"/>
      <c r="I119" s="3036">
        <v>3.1599999999999998E-4</v>
      </c>
      <c r="J119" s="1637"/>
      <c r="K119" s="3036">
        <v>5.6099999999999998E-4</v>
      </c>
      <c r="L119" s="1637"/>
      <c r="M119" s="1637" t="str">
        <f t="shared" si="36"/>
        <v>新日鉄住金エンジニアリング(株)</v>
      </c>
      <c r="N119" s="1637"/>
      <c r="O119" s="3036">
        <f t="shared" si="37"/>
        <v>5.5999999999999995E-4</v>
      </c>
      <c r="P119" s="1637"/>
      <c r="Q119" s="3036">
        <f t="shared" si="38"/>
        <v>5.6999999999999998E-4</v>
      </c>
      <c r="R119" s="828"/>
      <c r="S119" s="828"/>
    </row>
    <row r="120" spans="2:19">
      <c r="B120" s="828"/>
      <c r="C120" s="1636"/>
      <c r="D120" s="2465" t="s">
        <v>3084</v>
      </c>
      <c r="E120" s="2465"/>
      <c r="F120" s="2465"/>
      <c r="G120" s="1637"/>
      <c r="H120" s="1637"/>
      <c r="I120" s="3036">
        <v>2.5300000000000002E-4</v>
      </c>
      <c r="J120" s="1637"/>
      <c r="K120" s="3036">
        <v>7.3899999999999997E-4</v>
      </c>
      <c r="L120" s="1637"/>
      <c r="M120" s="1637" t="str">
        <f t="shared" si="36"/>
        <v>鈴与商事(株)</v>
      </c>
      <c r="N120" s="1637"/>
      <c r="O120" s="3036">
        <f t="shared" si="37"/>
        <v>4.8799999999999999E-4</v>
      </c>
      <c r="P120" s="1637"/>
      <c r="Q120" s="3036">
        <f t="shared" si="38"/>
        <v>3.48E-4</v>
      </c>
      <c r="R120" s="828"/>
      <c r="S120" s="828"/>
    </row>
    <row r="121" spans="2:19">
      <c r="B121" s="828"/>
      <c r="C121" s="1636"/>
      <c r="D121" s="2465" t="s">
        <v>3085</v>
      </c>
      <c r="E121" s="2465"/>
      <c r="F121" s="2465"/>
      <c r="G121" s="1637"/>
      <c r="H121" s="1637"/>
      <c r="I121" s="3036">
        <v>5.6800000000000004E-4</v>
      </c>
      <c r="J121" s="1637"/>
      <c r="K121" s="3036">
        <v>2.9399999999999999E-4</v>
      </c>
      <c r="L121" s="1637"/>
      <c r="M121" s="1637" t="str">
        <f t="shared" si="36"/>
        <v>泉北天然ガス発電(株)</v>
      </c>
      <c r="N121" s="1637"/>
      <c r="O121" s="3036">
        <f t="shared" si="37"/>
        <v>3.2899999999999997E-4</v>
      </c>
      <c r="P121" s="1637"/>
      <c r="Q121" s="3036">
        <f t="shared" si="38"/>
        <v>3.1E-4</v>
      </c>
      <c r="R121" s="828"/>
      <c r="S121" s="828"/>
    </row>
    <row r="122" spans="2:19">
      <c r="B122" s="828"/>
      <c r="C122" s="1636"/>
      <c r="D122" s="2465" t="s">
        <v>3086</v>
      </c>
      <c r="E122" s="2465"/>
      <c r="F122" s="2465"/>
      <c r="G122" s="1637"/>
      <c r="H122" s="1637"/>
      <c r="I122" s="3036">
        <v>2.5900000000000001E-4</v>
      </c>
      <c r="J122" s="1637"/>
      <c r="K122" s="3036">
        <v>3.4200000000000002E-4</v>
      </c>
      <c r="L122" s="1637"/>
      <c r="M122" s="1637" t="str">
        <f t="shared" si="36"/>
        <v>総合エネルギー(株)</v>
      </c>
      <c r="N122" s="1637"/>
      <c r="O122" s="3036">
        <f t="shared" si="37"/>
        <v>6.3599999999999996E-4</v>
      </c>
      <c r="P122" s="1637"/>
      <c r="Q122" s="3036">
        <f t="shared" si="38"/>
        <v>6.1499999999999999E-4</v>
      </c>
      <c r="R122" s="828"/>
      <c r="S122" s="828"/>
    </row>
    <row r="123" spans="2:19">
      <c r="B123" s="828"/>
      <c r="C123" s="1636"/>
      <c r="D123" s="2465" t="s">
        <v>3087</v>
      </c>
      <c r="E123" s="2465"/>
      <c r="F123" s="2465"/>
      <c r="G123" s="1637"/>
      <c r="H123" s="1637"/>
      <c r="I123" s="3036">
        <v>6.3400000000000001E-4</v>
      </c>
      <c r="J123" s="1637"/>
      <c r="K123" s="3036">
        <v>2.0599999999999999E-4</v>
      </c>
      <c r="L123" s="1637"/>
      <c r="M123" s="1637" t="str">
        <f t="shared" si="36"/>
        <v>大東エナジー(株)</v>
      </c>
      <c r="N123" s="1637"/>
      <c r="O123" s="3036">
        <f t="shared" si="37"/>
        <v>5.6599999999999999E-4</v>
      </c>
      <c r="P123" s="1637"/>
      <c r="Q123" s="3036">
        <f t="shared" si="38"/>
        <v>5.4699999999999996E-4</v>
      </c>
      <c r="R123" s="828"/>
      <c r="S123" s="828"/>
    </row>
    <row r="124" spans="2:19">
      <c r="B124" s="828"/>
      <c r="C124" s="1636"/>
      <c r="D124" s="2465" t="s">
        <v>3088</v>
      </c>
      <c r="E124" s="2465"/>
      <c r="F124" s="2465"/>
      <c r="G124" s="1637"/>
      <c r="H124" s="1637"/>
      <c r="I124" s="3036">
        <v>2.6600000000000001E-4</v>
      </c>
      <c r="J124" s="1637"/>
      <c r="K124" s="3036">
        <v>6.2399999999999999E-4</v>
      </c>
      <c r="L124" s="1637"/>
      <c r="M124" s="1637" t="str">
        <f t="shared" si="36"/>
        <v>ダイヤモンドパワー(株)</v>
      </c>
      <c r="N124" s="1637"/>
      <c r="O124" s="3036">
        <f t="shared" si="37"/>
        <v>3.39E-4</v>
      </c>
      <c r="P124" s="1637"/>
      <c r="Q124" s="3036">
        <f t="shared" si="38"/>
        <v>3.2299999999999999E-4</v>
      </c>
      <c r="R124" s="828"/>
      <c r="S124" s="828"/>
    </row>
    <row r="125" spans="2:19">
      <c r="B125" s="828"/>
      <c r="C125" s="1636"/>
      <c r="D125" s="2465" t="s">
        <v>3089</v>
      </c>
      <c r="E125" s="2465"/>
      <c r="F125" s="2465"/>
      <c r="G125" s="1637"/>
      <c r="H125" s="1637"/>
      <c r="I125" s="3036">
        <v>4.3800000000000002E-4</v>
      </c>
      <c r="J125" s="1637"/>
      <c r="K125" s="3036">
        <v>4.1899999999999999E-4</v>
      </c>
      <c r="L125" s="1637"/>
      <c r="M125" s="1637" t="str">
        <f t="shared" si="36"/>
        <v>大和ハウス工業(株)</v>
      </c>
      <c r="N125" s="1637"/>
      <c r="O125" s="3036">
        <f t="shared" si="37"/>
        <v>5.1900000000000004E-4</v>
      </c>
      <c r="P125" s="1637"/>
      <c r="Q125" s="3036">
        <f t="shared" si="38"/>
        <v>5.0100000000000003E-4</v>
      </c>
      <c r="R125" s="828"/>
      <c r="S125" s="828"/>
    </row>
    <row r="126" spans="2:19">
      <c r="B126" s="828"/>
      <c r="C126" s="1636"/>
      <c r="D126" s="2465" t="s">
        <v>3090</v>
      </c>
      <c r="E126" s="2465"/>
      <c r="F126" s="2465"/>
      <c r="G126" s="1637"/>
      <c r="H126" s="1637"/>
      <c r="I126" s="3036">
        <v>4.9799999999999996E-4</v>
      </c>
      <c r="J126" s="1637"/>
      <c r="K126" s="3036">
        <v>3.9300000000000001E-4</v>
      </c>
      <c r="L126" s="1637"/>
      <c r="M126" s="1637" t="str">
        <f t="shared" si="36"/>
        <v>中央電力エナジー(株)</v>
      </c>
      <c r="N126" s="1637"/>
      <c r="O126" s="3036">
        <f t="shared" si="37"/>
        <v>5.5999999999999995E-4</v>
      </c>
      <c r="P126" s="1637"/>
      <c r="Q126" s="3036">
        <f t="shared" si="38"/>
        <v>5.4100000000000003E-4</v>
      </c>
      <c r="R126" s="828"/>
      <c r="S126" s="828"/>
    </row>
    <row r="127" spans="2:19" s="2417" customFormat="1">
      <c r="B127" s="828"/>
      <c r="C127" s="1636"/>
      <c r="D127" s="2465" t="s">
        <v>3091</v>
      </c>
      <c r="E127" s="2465"/>
      <c r="F127" s="2465"/>
      <c r="G127" s="1637"/>
      <c r="H127" s="1637"/>
      <c r="I127" s="3036">
        <v>5.1099999999999995E-4</v>
      </c>
      <c r="J127" s="1637"/>
      <c r="K127" s="3036">
        <v>4.9399999999999997E-4</v>
      </c>
      <c r="L127" s="1637"/>
      <c r="M127" s="1637" t="str">
        <f t="shared" si="36"/>
        <v>テス・エンジニアリング(株)</v>
      </c>
      <c r="N127" s="1637"/>
      <c r="O127" s="3036">
        <f t="shared" si="37"/>
        <v>5.9900000000000003E-4</v>
      </c>
      <c r="P127" s="1637"/>
      <c r="Q127" s="3036">
        <f t="shared" si="38"/>
        <v>9.2500000000000004E-4</v>
      </c>
      <c r="R127" s="828"/>
      <c r="S127" s="828"/>
    </row>
    <row r="128" spans="2:19" s="2417" customFormat="1">
      <c r="B128" s="828"/>
      <c r="C128" s="1636"/>
      <c r="D128" s="2465" t="s">
        <v>3092</v>
      </c>
      <c r="E128" s="2465"/>
      <c r="F128" s="2465"/>
      <c r="G128" s="1637"/>
      <c r="H128" s="1637"/>
      <c r="I128" s="3036">
        <v>4.3999999999999999E-5</v>
      </c>
      <c r="J128" s="1637"/>
      <c r="K128" s="3036">
        <v>4.1999999999999998E-5</v>
      </c>
      <c r="L128" s="1637"/>
      <c r="M128" s="1637" t="str">
        <f t="shared" si="36"/>
        <v>テプコカスタマーサービス(株)</v>
      </c>
      <c r="N128" s="1637"/>
      <c r="O128" s="3036">
        <f t="shared" si="37"/>
        <v>4.8700000000000002E-4</v>
      </c>
      <c r="P128" s="1637"/>
      <c r="Q128" s="3036">
        <f t="shared" si="38"/>
        <v>3.2699999999999998E-4</v>
      </c>
      <c r="R128" s="828"/>
      <c r="S128" s="828"/>
    </row>
    <row r="129" spans="2:19" s="2417" customFormat="1">
      <c r="B129" s="828"/>
      <c r="C129" s="1636"/>
      <c r="D129" s="2465" t="s">
        <v>3093</v>
      </c>
      <c r="E129" s="2465"/>
      <c r="F129" s="2465"/>
      <c r="G129" s="1637"/>
      <c r="H129" s="1637"/>
      <c r="I129" s="3036">
        <v>1.06E-4</v>
      </c>
      <c r="J129" s="1637"/>
      <c r="K129" s="3036">
        <v>7.4399999999999998E-4</v>
      </c>
      <c r="L129" s="1637"/>
      <c r="M129" s="1637" t="str">
        <f t="shared" si="36"/>
        <v>東京エコサービス(株)</v>
      </c>
      <c r="N129" s="1637"/>
      <c r="O129" s="3036">
        <f t="shared" si="37"/>
        <v>7.1000000000000005E-5</v>
      </c>
      <c r="P129" s="1637"/>
      <c r="Q129" s="3036">
        <f t="shared" si="38"/>
        <v>1.4899999999999999E-4</v>
      </c>
      <c r="R129" s="828"/>
      <c r="S129" s="828"/>
    </row>
    <row r="130" spans="2:19" s="2417" customFormat="1">
      <c r="B130" s="828"/>
      <c r="C130" s="1636"/>
      <c r="D130" s="2465" t="s">
        <v>3094</v>
      </c>
      <c r="E130" s="2465"/>
      <c r="F130" s="2465"/>
      <c r="G130" s="1637"/>
      <c r="H130" s="1637"/>
      <c r="I130" s="3036">
        <v>4.6200000000000001E-4</v>
      </c>
      <c r="J130" s="1637"/>
      <c r="K130" s="3036">
        <v>4.4700000000000002E-4</v>
      </c>
      <c r="L130" s="1637"/>
      <c r="M130" s="1637" t="str">
        <f t="shared" si="36"/>
        <v>にちほクラウド電力(株)</v>
      </c>
      <c r="N130" s="1637"/>
      <c r="O130" s="3036">
        <f t="shared" si="37"/>
        <v>5.3899999999999998E-4</v>
      </c>
      <c r="P130" s="1637"/>
      <c r="Q130" s="3036">
        <f t="shared" si="38"/>
        <v>5.2099999999999998E-4</v>
      </c>
      <c r="R130" s="828"/>
      <c r="S130" s="828"/>
    </row>
    <row r="131" spans="2:19" s="2417" customFormat="1">
      <c r="B131" s="828"/>
      <c r="C131" s="1636"/>
      <c r="D131" s="2465" t="s">
        <v>3095</v>
      </c>
      <c r="E131" s="2465"/>
      <c r="F131" s="2465"/>
      <c r="G131" s="1637"/>
      <c r="H131" s="1637"/>
      <c r="I131" s="3036">
        <v>4.15E-4</v>
      </c>
      <c r="J131" s="1637"/>
      <c r="K131" s="3036">
        <v>5.53E-4</v>
      </c>
      <c r="L131" s="1637"/>
      <c r="M131" s="1637" t="str">
        <f t="shared" si="36"/>
        <v>日産トレーデイング(株)</v>
      </c>
      <c r="N131" s="1637"/>
      <c r="O131" s="3036">
        <f t="shared" si="37"/>
        <v>3.6499999999999998E-4</v>
      </c>
      <c r="P131" s="1637"/>
      <c r="Q131" s="3036">
        <f t="shared" si="38"/>
        <v>4.0999999999999999E-4</v>
      </c>
      <c r="R131" s="828"/>
      <c r="S131" s="828"/>
    </row>
    <row r="132" spans="2:19" s="2417" customFormat="1">
      <c r="B132" s="828"/>
      <c r="C132" s="1636"/>
      <c r="D132" s="2465" t="s">
        <v>3096</v>
      </c>
      <c r="E132" s="2465"/>
      <c r="F132" s="2465"/>
      <c r="G132" s="1637"/>
      <c r="H132" s="1637"/>
      <c r="I132" s="3036">
        <v>4.5399999999999998E-4</v>
      </c>
      <c r="J132" s="1637"/>
      <c r="K132" s="3036">
        <v>4.6200000000000001E-4</v>
      </c>
      <c r="L132" s="1637"/>
      <c r="M132" s="1637" t="str">
        <f t="shared" si="36"/>
        <v>日本アルファ電力(株)</v>
      </c>
      <c r="N132" s="1637"/>
      <c r="O132" s="3036">
        <f t="shared" si="37"/>
        <v>0</v>
      </c>
      <c r="P132" s="1637"/>
      <c r="Q132" s="3036">
        <f t="shared" si="38"/>
        <v>1.4790000000000001E-3</v>
      </c>
      <c r="R132" s="828"/>
      <c r="S132" s="828"/>
    </row>
    <row r="133" spans="2:19" s="2417" customFormat="1">
      <c r="B133" s="828"/>
      <c r="C133" s="1636"/>
      <c r="D133" s="2465" t="s">
        <v>3097</v>
      </c>
      <c r="E133" s="2465"/>
      <c r="F133" s="2465"/>
      <c r="G133" s="1637"/>
      <c r="H133" s="1637"/>
      <c r="I133" s="3036">
        <v>4.5399999999999998E-4</v>
      </c>
      <c r="J133" s="1637"/>
      <c r="K133" s="3036">
        <v>3.9800000000000002E-4</v>
      </c>
      <c r="L133" s="1637"/>
      <c r="M133" s="1637" t="str">
        <f t="shared" si="36"/>
        <v>日本テクノ(株)</v>
      </c>
      <c r="N133" s="1637"/>
      <c r="O133" s="3036">
        <f t="shared" si="37"/>
        <v>5.3200000000000003E-4</v>
      </c>
      <c r="P133" s="1637"/>
      <c r="Q133" s="3036">
        <f t="shared" si="38"/>
        <v>5.8799999999999998E-4</v>
      </c>
      <c r="R133" s="828"/>
      <c r="S133" s="828"/>
    </row>
    <row r="134" spans="2:19" s="2417" customFormat="1">
      <c r="B134" s="828"/>
      <c r="C134" s="1636"/>
      <c r="D134" s="2465" t="s">
        <v>3098</v>
      </c>
      <c r="E134" s="2465"/>
      <c r="F134" s="2465"/>
      <c r="G134" s="1637"/>
      <c r="H134" s="1637"/>
      <c r="I134" s="3036">
        <v>5.4100000000000003E-4</v>
      </c>
      <c r="J134" s="1637"/>
      <c r="K134" s="3036">
        <v>5.2800000000000004E-4</v>
      </c>
      <c r="L134" s="1637"/>
      <c r="M134" s="1637" t="str">
        <f t="shared" si="36"/>
        <v>日本ロジテック協同組合</v>
      </c>
      <c r="N134" s="1637"/>
      <c r="O134" s="3036">
        <f t="shared" si="37"/>
        <v>3.86E-4</v>
      </c>
      <c r="P134" s="1637"/>
      <c r="Q134" s="3036">
        <f t="shared" si="38"/>
        <v>5.5199999999999997E-4</v>
      </c>
      <c r="R134" s="828"/>
      <c r="S134" s="828"/>
    </row>
    <row r="135" spans="2:19" s="2417" customFormat="1">
      <c r="B135" s="828"/>
      <c r="C135" s="1636"/>
      <c r="D135" s="2465" t="s">
        <v>3099</v>
      </c>
      <c r="E135" s="2465"/>
      <c r="F135" s="2465"/>
      <c r="G135" s="1637"/>
      <c r="H135" s="1637"/>
      <c r="I135" s="3036">
        <v>4.9200000000000003E-4</v>
      </c>
      <c r="J135" s="1637"/>
      <c r="K135" s="3036">
        <v>4.75E-4</v>
      </c>
      <c r="L135" s="1637"/>
      <c r="M135" s="1637" t="str">
        <f t="shared" si="36"/>
        <v>パナソニック(株)</v>
      </c>
      <c r="N135" s="1637"/>
      <c r="O135" s="3036">
        <f t="shared" si="37"/>
        <v>6.2200000000000005E-4</v>
      </c>
      <c r="P135" s="1637"/>
      <c r="Q135" s="3036">
        <f t="shared" si="38"/>
        <v>6.11E-4</v>
      </c>
      <c r="R135" s="828"/>
      <c r="S135" s="828"/>
    </row>
    <row r="136" spans="2:19" s="2417" customFormat="1">
      <c r="B136" s="828"/>
      <c r="C136" s="1636"/>
      <c r="D136" s="2465" t="s">
        <v>3100</v>
      </c>
      <c r="E136" s="2465"/>
      <c r="F136" s="2465"/>
      <c r="G136" s="1637"/>
      <c r="H136" s="1637"/>
      <c r="I136" s="3036">
        <v>4.7199999999999998E-4</v>
      </c>
      <c r="J136" s="1637"/>
      <c r="K136" s="3036">
        <v>5.6800000000000004E-4</v>
      </c>
      <c r="L136" s="1637"/>
      <c r="M136" s="1637" t="str">
        <f t="shared" si="36"/>
        <v>プレミアムグリーンパワー(株)</v>
      </c>
      <c r="N136" s="1637"/>
      <c r="O136" s="3036">
        <f t="shared" si="37"/>
        <v>1.1E-5</v>
      </c>
      <c r="P136" s="1637"/>
      <c r="Q136" s="3036">
        <f t="shared" si="38"/>
        <v>2.6499999999999999E-4</v>
      </c>
      <c r="R136" s="828"/>
      <c r="S136" s="828"/>
    </row>
    <row r="137" spans="2:19" s="2417" customFormat="1">
      <c r="B137" s="828"/>
      <c r="C137" s="1636"/>
      <c r="D137" s="2465" t="s">
        <v>3101</v>
      </c>
      <c r="E137" s="2465"/>
      <c r="F137" s="2465"/>
      <c r="G137" s="1637"/>
      <c r="H137" s="1637"/>
      <c r="I137" s="3036">
        <v>1.5300000000000001E-4</v>
      </c>
      <c r="J137" s="1637"/>
      <c r="K137" s="3036">
        <v>5.9800000000000001E-4</v>
      </c>
      <c r="L137" s="1637"/>
      <c r="M137" s="1637" t="str">
        <f t="shared" si="36"/>
        <v>本田技研工業(株)</v>
      </c>
      <c r="N137" s="1637"/>
      <c r="O137" s="3036">
        <f t="shared" si="37"/>
        <v>5.8E-4</v>
      </c>
      <c r="P137" s="1637"/>
      <c r="Q137" s="3036">
        <f t="shared" si="38"/>
        <v>5.5999999999999995E-4</v>
      </c>
      <c r="R137" s="828"/>
      <c r="S137" s="828"/>
    </row>
    <row r="138" spans="2:19" s="2417" customFormat="1">
      <c r="B138" s="828"/>
      <c r="C138" s="1636"/>
      <c r="D138" s="2465" t="s">
        <v>3102</v>
      </c>
      <c r="E138" s="2465"/>
      <c r="F138" s="2465"/>
      <c r="G138" s="1637"/>
      <c r="H138" s="1637"/>
      <c r="I138" s="3036">
        <v>3.48E-4</v>
      </c>
      <c r="J138" s="1637"/>
      <c r="K138" s="3036">
        <v>4.6799999999999999E-4</v>
      </c>
      <c r="L138" s="1637"/>
      <c r="M138" s="1637" t="str">
        <f t="shared" si="36"/>
        <v>丸紅(株)</v>
      </c>
      <c r="N138" s="1637"/>
      <c r="O138" s="3036">
        <f t="shared" si="37"/>
        <v>4.8200000000000001E-4</v>
      </c>
      <c r="P138" s="1637"/>
      <c r="Q138" s="3036">
        <f t="shared" si="38"/>
        <v>4.8700000000000002E-4</v>
      </c>
      <c r="R138" s="828"/>
      <c r="S138" s="828"/>
    </row>
    <row r="139" spans="2:19" s="2417" customFormat="1">
      <c r="B139" s="828"/>
      <c r="C139" s="1636"/>
      <c r="D139" s="2465" t="s">
        <v>3103</v>
      </c>
      <c r="E139" s="2465"/>
      <c r="F139" s="2465"/>
      <c r="G139" s="1637"/>
      <c r="H139" s="1637"/>
      <c r="I139" s="3036">
        <v>3.7300000000000001E-4</v>
      </c>
      <c r="J139" s="1637"/>
      <c r="K139" s="3036">
        <v>3.6000000000000002E-4</v>
      </c>
      <c r="L139" s="1637"/>
      <c r="M139" s="1637" t="str">
        <f t="shared" si="36"/>
        <v>ミサワホーム(株)</v>
      </c>
      <c r="N139" s="1637"/>
      <c r="O139" s="3036">
        <f t="shared" si="37"/>
        <v>3.1100000000000002E-4</v>
      </c>
      <c r="P139" s="1637"/>
      <c r="Q139" s="3036">
        <f t="shared" si="38"/>
        <v>3.01E-4</v>
      </c>
      <c r="R139" s="828"/>
      <c r="S139" s="828"/>
    </row>
    <row r="140" spans="2:19" s="2417" customFormat="1">
      <c r="B140" s="828"/>
      <c r="C140" s="1636"/>
      <c r="D140" s="2465" t="s">
        <v>3104</v>
      </c>
      <c r="E140" s="2465"/>
      <c r="F140" s="2465"/>
      <c r="G140" s="1637"/>
      <c r="H140" s="1637"/>
      <c r="I140" s="3036">
        <v>9.0000000000000002E-6</v>
      </c>
      <c r="J140" s="1637"/>
      <c r="K140" s="3036">
        <v>9.0000000000000002E-6</v>
      </c>
      <c r="L140" s="1637"/>
      <c r="M140" s="1637" t="str">
        <f t="shared" si="36"/>
        <v>三井物産(株)</v>
      </c>
      <c r="N140" s="1637"/>
      <c r="O140" s="3036">
        <f t="shared" si="37"/>
        <v>0</v>
      </c>
      <c r="P140" s="1637"/>
      <c r="Q140" s="3036">
        <f t="shared" si="38"/>
        <v>0</v>
      </c>
      <c r="R140" s="828"/>
      <c r="S140" s="828"/>
    </row>
    <row r="141" spans="2:19" s="2417" customFormat="1">
      <c r="B141" s="828"/>
      <c r="C141" s="1636"/>
      <c r="D141" s="2465" t="s">
        <v>3105</v>
      </c>
      <c r="E141" s="2465"/>
      <c r="F141" s="2465"/>
      <c r="G141" s="1637"/>
      <c r="H141" s="1637"/>
      <c r="I141" s="3036">
        <v>5.3700000000000004E-4</v>
      </c>
      <c r="J141" s="1637"/>
      <c r="K141" s="3036">
        <v>5.2400000000000005E-4</v>
      </c>
      <c r="L141" s="1637"/>
      <c r="M141" s="1637" t="str">
        <f t="shared" si="36"/>
        <v>ミツウロコグリーンエネルギー(株)</v>
      </c>
      <c r="N141" s="1637"/>
      <c r="O141" s="3036">
        <f t="shared" si="37"/>
        <v>4.66E-4</v>
      </c>
      <c r="P141" s="1637"/>
      <c r="Q141" s="3036">
        <f t="shared" si="38"/>
        <v>4.9799999999999996E-4</v>
      </c>
      <c r="R141" s="828"/>
      <c r="S141" s="828"/>
    </row>
    <row r="142" spans="2:19" s="2417" customFormat="1">
      <c r="B142" s="828"/>
      <c r="C142" s="1636"/>
      <c r="D142" s="2465" t="s">
        <v>3106</v>
      </c>
      <c r="E142" s="2465"/>
      <c r="F142" s="2465"/>
      <c r="G142" s="1637"/>
      <c r="H142" s="1637"/>
      <c r="I142" s="3036">
        <v>1.7000000000000001E-4</v>
      </c>
      <c r="J142" s="1637"/>
      <c r="K142" s="3036">
        <v>0</v>
      </c>
      <c r="L142" s="1637"/>
      <c r="M142" s="1637" t="str">
        <f t="shared" si="36"/>
        <v>リエスパワー(株)</v>
      </c>
      <c r="N142" s="1637"/>
      <c r="O142" s="3036">
        <f t="shared" si="37"/>
        <v>5.8200000000000005E-4</v>
      </c>
      <c r="P142" s="1637"/>
      <c r="Q142" s="3036">
        <f t="shared" si="38"/>
        <v>0</v>
      </c>
      <c r="R142" s="828"/>
      <c r="S142" s="828"/>
    </row>
    <row r="143" spans="2:19" s="2417" customFormat="1">
      <c r="B143" s="828"/>
      <c r="C143" s="1636"/>
      <c r="D143" s="2465" t="s">
        <v>3107</v>
      </c>
      <c r="E143" s="2465"/>
      <c r="F143" s="2465"/>
      <c r="G143" s="1637"/>
      <c r="H143" s="1637"/>
      <c r="I143" s="3036">
        <v>4.8700000000000002E-4</v>
      </c>
      <c r="J143" s="1637"/>
      <c r="K143" s="3036">
        <v>7.2800000000000002E-4</v>
      </c>
      <c r="L143" s="1637"/>
      <c r="M143" s="1637" t="str">
        <f t="shared" si="36"/>
        <v>ワタミファーム＆エナジー(株)</v>
      </c>
      <c r="N143" s="1637"/>
      <c r="O143" s="3036">
        <f t="shared" si="37"/>
        <v>4.5399999999999998E-4</v>
      </c>
      <c r="P143" s="1637"/>
      <c r="Q143" s="3036">
        <f t="shared" si="38"/>
        <v>4.3899999999999999E-4</v>
      </c>
      <c r="R143" s="828"/>
      <c r="S143" s="828"/>
    </row>
    <row r="144" spans="2:19" s="2417" customFormat="1" hidden="1">
      <c r="B144" s="828"/>
      <c r="C144" s="1636"/>
      <c r="D144" s="2465" t="s">
        <v>3108</v>
      </c>
      <c r="E144" s="2465"/>
      <c r="F144" s="2465"/>
      <c r="G144" s="1637"/>
      <c r="H144" s="1637"/>
      <c r="I144" s="3036">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3109</v>
      </c>
      <c r="E145" s="2465"/>
      <c r="F145" s="2465"/>
      <c r="G145" s="1637"/>
      <c r="H145" s="1637"/>
      <c r="I145" s="3036">
        <v>4.95E-4</v>
      </c>
      <c r="J145" s="1637"/>
      <c r="K145" s="1694">
        <v>4.7899999999999999E-4</v>
      </c>
      <c r="L145" s="1637"/>
      <c r="M145" s="1637"/>
      <c r="N145" s="1637"/>
      <c r="O145" s="1637"/>
      <c r="P145" s="1637"/>
      <c r="Q145" s="1637"/>
      <c r="R145" s="828"/>
      <c r="S145" s="828"/>
    </row>
    <row r="146" spans="2:19" s="2417" customFormat="1" hidden="1">
      <c r="B146" s="828"/>
      <c r="C146" s="1636"/>
      <c r="D146" s="2465" t="s">
        <v>3110</v>
      </c>
      <c r="E146" s="2465"/>
      <c r="F146" s="2465"/>
      <c r="G146" s="1637"/>
      <c r="H146" s="1637"/>
      <c r="I146" s="3036">
        <v>6.02E-4</v>
      </c>
      <c r="J146" s="1637"/>
      <c r="K146" s="1694">
        <v>6.0099999999999997E-4</v>
      </c>
      <c r="L146" s="1637"/>
      <c r="M146" s="1637"/>
      <c r="N146" s="1637"/>
      <c r="O146" s="1637"/>
      <c r="P146" s="1637"/>
      <c r="Q146" s="1637"/>
      <c r="R146" s="828"/>
      <c r="S146" s="828"/>
    </row>
    <row r="147" spans="2:19" s="2417" customFormat="1" hidden="1">
      <c r="B147" s="828"/>
      <c r="C147" s="1636"/>
      <c r="D147" s="2465" t="s">
        <v>3111</v>
      </c>
      <c r="E147" s="2465"/>
      <c r="F147" s="2465"/>
      <c r="G147" s="1637"/>
      <c r="H147" s="1637"/>
      <c r="I147" s="3036">
        <v>6.0999999999999997E-4</v>
      </c>
      <c r="J147" s="1637"/>
      <c r="K147" s="1694">
        <v>6.96E-4</v>
      </c>
      <c r="L147" s="1637"/>
      <c r="M147"/>
      <c r="N147"/>
      <c r="O147"/>
      <c r="P147"/>
      <c r="Q147"/>
      <c r="R147" s="828"/>
      <c r="S147" s="828"/>
    </row>
    <row r="148" spans="2:19" s="2417" customFormat="1" hidden="1">
      <c r="B148" s="828"/>
      <c r="C148" s="1636"/>
      <c r="D148" s="2465" t="s">
        <v>3112</v>
      </c>
      <c r="E148" s="2465"/>
      <c r="F148" s="2465"/>
      <c r="G148" s="1637"/>
      <c r="H148" s="1637"/>
      <c r="I148" s="3036">
        <v>2.5399999999999999E-4</v>
      </c>
      <c r="J148" s="1637"/>
      <c r="K148" s="1694">
        <v>5.6099999999999998E-4</v>
      </c>
      <c r="L148" s="1637"/>
      <c r="M148"/>
      <c r="N148"/>
      <c r="O148"/>
      <c r="P148"/>
      <c r="Q148"/>
      <c r="R148" s="828"/>
      <c r="S148" s="828"/>
    </row>
    <row r="149" spans="2:19" s="2417" customFormat="1" hidden="1">
      <c r="B149" s="828"/>
      <c r="C149" s="1636"/>
      <c r="D149" s="2465" t="s">
        <v>3113</v>
      </c>
      <c r="E149" s="2465"/>
      <c r="F149" s="2465"/>
      <c r="G149" s="1637"/>
      <c r="H149" s="1637"/>
      <c r="I149" s="3036">
        <v>1.9000000000000001E-4</v>
      </c>
      <c r="J149" s="1637"/>
      <c r="K149" s="1694">
        <v>6.9899999999999997E-4</v>
      </c>
      <c r="L149" s="1637"/>
      <c r="M149"/>
      <c r="N149"/>
      <c r="O149"/>
      <c r="P149"/>
      <c r="Q149"/>
      <c r="R149" s="828"/>
      <c r="S149" s="828"/>
    </row>
    <row r="150" spans="2:19" s="2417" customFormat="1" hidden="1">
      <c r="B150" s="828"/>
      <c r="C150" s="1636"/>
      <c r="D150" s="2465" t="s">
        <v>3114</v>
      </c>
      <c r="E150" s="2465"/>
      <c r="F150" s="2465"/>
      <c r="G150" s="1637"/>
      <c r="H150" s="1637"/>
      <c r="I150" s="3036">
        <v>5.8100000000000003E-4</v>
      </c>
      <c r="J150" s="1637"/>
      <c r="K150" s="1694">
        <v>5.62E-4</v>
      </c>
      <c r="L150" s="1637"/>
      <c r="M150"/>
      <c r="N150"/>
      <c r="O150"/>
      <c r="P150"/>
      <c r="Q150"/>
      <c r="R150" s="828"/>
      <c r="S150" s="828"/>
    </row>
    <row r="151" spans="2:19" s="2417" customFormat="1" hidden="1">
      <c r="B151" s="828"/>
      <c r="C151" s="1636"/>
      <c r="D151" s="2465" t="s">
        <v>3115</v>
      </c>
      <c r="E151" s="2465"/>
      <c r="F151" s="2465"/>
      <c r="G151" s="1637"/>
      <c r="H151" s="1637"/>
      <c r="I151" s="3036">
        <v>4.9399999999999997E-4</v>
      </c>
      <c r="J151" s="1637"/>
      <c r="K151" s="1694">
        <v>4.7800000000000002E-4</v>
      </c>
      <c r="L151" s="1637"/>
      <c r="M151"/>
      <c r="N151"/>
      <c r="O151"/>
      <c r="P151"/>
      <c r="Q151"/>
      <c r="R151" s="828"/>
      <c r="S151" s="828"/>
    </row>
    <row r="152" spans="2:19" s="2417" customFormat="1" hidden="1">
      <c r="B152" s="828"/>
      <c r="C152" s="1636"/>
      <c r="D152" s="2465" t="s">
        <v>3116</v>
      </c>
      <c r="E152" s="2465"/>
      <c r="F152" s="2465"/>
      <c r="G152" s="1637"/>
      <c r="H152" s="1637"/>
      <c r="I152" s="3036">
        <v>4.1300000000000001E-4</v>
      </c>
      <c r="J152" s="1637"/>
      <c r="K152" s="1694">
        <v>5.0299999999999997E-4</v>
      </c>
      <c r="L152" s="1637"/>
      <c r="M152"/>
      <c r="N152"/>
      <c r="O152"/>
      <c r="P152"/>
      <c r="Q152"/>
      <c r="R152" s="828"/>
      <c r="S152" s="828"/>
    </row>
    <row r="153" spans="2:19" s="2417" customFormat="1" hidden="1">
      <c r="B153" s="828"/>
      <c r="C153" s="1636"/>
      <c r="D153" s="2465" t="s">
        <v>3117</v>
      </c>
      <c r="E153" s="2465"/>
      <c r="F153" s="2465"/>
      <c r="G153" s="1637"/>
      <c r="H153" s="1637"/>
      <c r="I153" s="3036">
        <v>3.2499999999999999E-4</v>
      </c>
      <c r="J153" s="1637"/>
      <c r="K153" s="1694">
        <v>3.0600000000000001E-4</v>
      </c>
      <c r="L153" s="1637"/>
      <c r="M153"/>
      <c r="N153"/>
      <c r="O153"/>
      <c r="P153"/>
      <c r="Q153"/>
      <c r="R153" s="828"/>
      <c r="S153" s="828"/>
    </row>
    <row r="154" spans="2:19" s="2417" customFormat="1" hidden="1">
      <c r="B154" s="828"/>
      <c r="C154" s="1636"/>
      <c r="D154" s="2465" t="s">
        <v>3118</v>
      </c>
      <c r="E154" s="2465"/>
      <c r="F154" s="2465"/>
      <c r="G154" s="1637"/>
      <c r="H154" s="1637"/>
      <c r="I154" s="3036">
        <v>5.53E-4</v>
      </c>
      <c r="J154" s="1637"/>
      <c r="K154" s="1694">
        <v>5.3399999999999997E-4</v>
      </c>
      <c r="L154" s="1637"/>
      <c r="M154"/>
      <c r="N154"/>
      <c r="O154"/>
      <c r="P154"/>
      <c r="Q154"/>
      <c r="R154" s="828"/>
      <c r="S154" s="828"/>
    </row>
    <row r="155" spans="2:19" s="2417" customFormat="1" hidden="1">
      <c r="B155" s="828"/>
      <c r="C155" s="1636"/>
      <c r="D155" s="2465" t="s">
        <v>3119</v>
      </c>
      <c r="E155" s="2465"/>
      <c r="F155" s="2465"/>
      <c r="G155" s="1637"/>
      <c r="H155" s="1637"/>
      <c r="I155" s="3036">
        <v>3.6000000000000001E-5</v>
      </c>
      <c r="J155" s="1637"/>
      <c r="K155" s="1694">
        <v>5.7600000000000001E-4</v>
      </c>
      <c r="L155" s="1637"/>
      <c r="M155"/>
      <c r="N155"/>
      <c r="O155"/>
      <c r="P155"/>
      <c r="Q155"/>
      <c r="R155" s="828"/>
      <c r="S155" s="828"/>
    </row>
    <row r="156" spans="2:19" s="2417" customFormat="1" hidden="1">
      <c r="B156" s="828"/>
      <c r="C156" s="1636"/>
      <c r="D156" s="2465" t="s">
        <v>3120</v>
      </c>
      <c r="E156" s="2465"/>
      <c r="F156" s="2465"/>
      <c r="G156" s="1637"/>
      <c r="H156" s="1637"/>
      <c r="I156" s="3036">
        <v>4.1599999999999997E-4</v>
      </c>
      <c r="J156" s="1637"/>
      <c r="K156" s="1694">
        <v>5.6300000000000002E-4</v>
      </c>
      <c r="L156" s="1637"/>
      <c r="M156"/>
      <c r="N156"/>
      <c r="O156"/>
      <c r="P156"/>
      <c r="Q156"/>
      <c r="R156" s="828"/>
      <c r="S156" s="828"/>
    </row>
    <row r="157" spans="2:19" s="2417" customFormat="1" hidden="1">
      <c r="B157" s="828"/>
      <c r="C157" s="1636"/>
      <c r="D157" s="2465" t="s">
        <v>3121</v>
      </c>
      <c r="E157" s="2465"/>
      <c r="F157" s="2465"/>
      <c r="G157" s="1637"/>
      <c r="H157" s="1637"/>
      <c r="I157" s="3036">
        <v>3.7199999999999999E-4</v>
      </c>
      <c r="J157" s="1637"/>
      <c r="K157" s="1694">
        <v>3.5300000000000002E-4</v>
      </c>
      <c r="L157" s="1637"/>
      <c r="M157"/>
      <c r="N157"/>
      <c r="O157"/>
      <c r="P157"/>
      <c r="Q157"/>
      <c r="R157" s="828"/>
      <c r="S157" s="828"/>
    </row>
    <row r="158" spans="2:19" s="2417" customFormat="1" hidden="1">
      <c r="B158" s="828"/>
      <c r="C158" s="1636"/>
      <c r="D158" s="2465" t="s">
        <v>3122</v>
      </c>
      <c r="E158" s="2465"/>
      <c r="F158" s="2465"/>
      <c r="G158" s="1637"/>
      <c r="H158" s="1637"/>
      <c r="I158" s="3036">
        <v>5.5999999999999995E-4</v>
      </c>
      <c r="J158" s="1637"/>
      <c r="K158" s="1694">
        <v>5.6999999999999998E-4</v>
      </c>
      <c r="L158" s="1637"/>
      <c r="M158"/>
      <c r="N158"/>
      <c r="O158"/>
      <c r="P158"/>
      <c r="Q158"/>
      <c r="R158" s="828"/>
      <c r="S158" s="828"/>
    </row>
    <row r="159" spans="2:19" s="2417" customFormat="1" hidden="1">
      <c r="B159" s="828"/>
      <c r="C159" s="1636"/>
      <c r="D159" s="2465" t="s">
        <v>3123</v>
      </c>
      <c r="E159" s="2465"/>
      <c r="F159" s="2465"/>
      <c r="G159" s="1637"/>
      <c r="H159" s="1637"/>
      <c r="I159" s="3036">
        <v>4.8799999999999999E-4</v>
      </c>
      <c r="J159" s="1637"/>
      <c r="K159" s="1694">
        <v>3.48E-4</v>
      </c>
      <c r="L159" s="1637"/>
      <c r="M159"/>
      <c r="N159"/>
      <c r="O159"/>
      <c r="P159"/>
      <c r="Q159"/>
      <c r="R159" s="828"/>
      <c r="S159" s="828"/>
    </row>
    <row r="160" spans="2:19" s="2417" customFormat="1" hidden="1">
      <c r="B160" s="828"/>
      <c r="C160" s="1636"/>
      <c r="D160" s="2465" t="s">
        <v>3124</v>
      </c>
      <c r="E160" s="2465"/>
      <c r="F160" s="2465"/>
      <c r="G160" s="1637"/>
      <c r="H160" s="1637"/>
      <c r="I160" s="3036">
        <v>3.2899999999999997E-4</v>
      </c>
      <c r="J160" s="1637"/>
      <c r="K160" s="1694">
        <v>3.1E-4</v>
      </c>
      <c r="L160" s="1637"/>
      <c r="M160"/>
      <c r="N160"/>
      <c r="O160"/>
      <c r="P160"/>
      <c r="Q160"/>
      <c r="R160" s="828"/>
      <c r="S160" s="828"/>
    </row>
    <row r="161" spans="2:19" s="2417" customFormat="1" hidden="1">
      <c r="B161" s="828"/>
      <c r="C161" s="1636"/>
      <c r="D161" s="2465" t="s">
        <v>3125</v>
      </c>
      <c r="E161" s="2465"/>
      <c r="F161" s="2465"/>
      <c r="G161" s="1637"/>
      <c r="H161" s="1637"/>
      <c r="I161" s="3036">
        <v>6.3599999999999996E-4</v>
      </c>
      <c r="J161" s="1637"/>
      <c r="K161" s="1694">
        <v>6.1499999999999999E-4</v>
      </c>
      <c r="L161" s="1637"/>
      <c r="M161"/>
      <c r="N161"/>
      <c r="O161"/>
      <c r="P161"/>
      <c r="Q161"/>
      <c r="R161" s="828"/>
      <c r="S161" s="828"/>
    </row>
    <row r="162" spans="2:19" s="2417" customFormat="1" hidden="1">
      <c r="B162" s="828"/>
      <c r="C162" s="1636"/>
      <c r="D162" s="2465" t="s">
        <v>3126</v>
      </c>
      <c r="E162" s="2465"/>
      <c r="F162" s="2465"/>
      <c r="G162" s="1637"/>
      <c r="H162" s="1637"/>
      <c r="I162" s="3036">
        <v>5.6599999999999999E-4</v>
      </c>
      <c r="J162" s="1637"/>
      <c r="K162" s="1694">
        <v>5.4699999999999996E-4</v>
      </c>
      <c r="L162" s="1637"/>
      <c r="M162"/>
      <c r="N162"/>
      <c r="O162"/>
      <c r="P162"/>
      <c r="Q162"/>
      <c r="R162" s="828"/>
      <c r="S162" s="828"/>
    </row>
    <row r="163" spans="2:19" s="2417" customFormat="1" hidden="1">
      <c r="B163" s="828"/>
      <c r="C163" s="1636"/>
      <c r="D163" s="2465" t="s">
        <v>3127</v>
      </c>
      <c r="E163" s="2465"/>
      <c r="F163" s="2465"/>
      <c r="G163" s="1637"/>
      <c r="H163" s="1637"/>
      <c r="I163" s="3036">
        <v>3.39E-4</v>
      </c>
      <c r="J163" s="1637"/>
      <c r="K163" s="1694">
        <v>3.2299999999999999E-4</v>
      </c>
      <c r="L163" s="1637"/>
      <c r="M163"/>
      <c r="N163"/>
      <c r="O163"/>
      <c r="P163"/>
      <c r="Q163"/>
      <c r="R163" s="828"/>
      <c r="S163" s="828"/>
    </row>
    <row r="164" spans="2:19" s="2417" customFormat="1" hidden="1">
      <c r="B164" s="828"/>
      <c r="C164" s="1636"/>
      <c r="D164" s="2465" t="s">
        <v>3128</v>
      </c>
      <c r="E164" s="2465"/>
      <c r="F164" s="2465"/>
      <c r="G164" s="1637"/>
      <c r="H164" s="1637"/>
      <c r="I164" s="3036">
        <v>5.1900000000000004E-4</v>
      </c>
      <c r="J164" s="1637"/>
      <c r="K164" s="1694">
        <v>5.0100000000000003E-4</v>
      </c>
      <c r="L164" s="1637"/>
      <c r="M164"/>
      <c r="N164"/>
      <c r="O164"/>
      <c r="P164"/>
      <c r="Q164"/>
      <c r="R164" s="828"/>
      <c r="S164" s="828"/>
    </row>
    <row r="165" spans="2:19" s="2417" customFormat="1" hidden="1">
      <c r="B165" s="828"/>
      <c r="C165" s="1636"/>
      <c r="D165" s="2465" t="s">
        <v>3129</v>
      </c>
      <c r="E165" s="2465"/>
      <c r="F165" s="2465"/>
      <c r="G165" s="1637"/>
      <c r="H165" s="1637"/>
      <c r="I165" s="3036">
        <v>5.5999999999999995E-4</v>
      </c>
      <c r="J165" s="1637"/>
      <c r="K165" s="1694">
        <v>5.4100000000000003E-4</v>
      </c>
      <c r="L165" s="1637"/>
      <c r="M165" s="1637"/>
      <c r="N165" s="1637"/>
      <c r="O165" s="1637"/>
      <c r="P165" s="1637"/>
      <c r="Q165" s="1637"/>
      <c r="R165" s="828"/>
      <c r="S165" s="828"/>
    </row>
    <row r="166" spans="2:19" hidden="1">
      <c r="B166" s="828"/>
      <c r="C166" s="1636"/>
      <c r="D166" s="2465" t="s">
        <v>3130</v>
      </c>
      <c r="E166" s="2465"/>
      <c r="F166" s="2465"/>
      <c r="G166" s="1637"/>
      <c r="H166" s="1637"/>
      <c r="I166" s="3036">
        <v>5.9900000000000003E-4</v>
      </c>
      <c r="J166" s="1637"/>
      <c r="K166" s="1694">
        <v>9.2500000000000004E-4</v>
      </c>
      <c r="L166" s="1637"/>
      <c r="M166" s="1637"/>
      <c r="N166" s="1637"/>
      <c r="O166" s="1637"/>
      <c r="P166" s="1637"/>
      <c r="Q166" s="1637"/>
      <c r="R166" s="828"/>
      <c r="S166" s="828"/>
    </row>
    <row r="167" spans="2:19" hidden="1">
      <c r="B167" s="828"/>
      <c r="C167" s="1636"/>
      <c r="D167" s="2465" t="s">
        <v>3131</v>
      </c>
      <c r="E167" s="2465"/>
      <c r="F167" s="2465"/>
      <c r="G167" s="1637"/>
      <c r="H167" s="1637"/>
      <c r="I167" s="3036">
        <v>4.8700000000000002E-4</v>
      </c>
      <c r="J167" s="1637"/>
      <c r="K167" s="1694">
        <v>3.2699999999999998E-4</v>
      </c>
      <c r="L167" s="1637"/>
      <c r="M167" s="1637"/>
      <c r="N167" s="1637"/>
      <c r="O167" s="1637"/>
      <c r="P167" s="1637"/>
      <c r="Q167" s="1637"/>
      <c r="R167" s="828"/>
      <c r="S167" s="828"/>
    </row>
    <row r="168" spans="2:19" hidden="1">
      <c r="B168" s="828"/>
      <c r="C168" s="1636"/>
      <c r="D168" s="2465" t="s">
        <v>3132</v>
      </c>
      <c r="E168" s="2465"/>
      <c r="F168" s="2465"/>
      <c r="G168" s="1637"/>
      <c r="H168" s="1637"/>
      <c r="I168" s="3036">
        <v>7.1000000000000005E-5</v>
      </c>
      <c r="J168" s="1637"/>
      <c r="K168" s="1694">
        <v>1.4899999999999999E-4</v>
      </c>
      <c r="L168" s="1637"/>
      <c r="M168" s="1637"/>
      <c r="N168" s="1637"/>
      <c r="O168" s="1637"/>
      <c r="P168" s="1637"/>
      <c r="Q168" s="1637"/>
      <c r="R168" s="828"/>
      <c r="S168" s="828"/>
    </row>
    <row r="169" spans="2:19" hidden="1">
      <c r="B169" s="828"/>
      <c r="C169" s="1636"/>
      <c r="D169" s="2465" t="s">
        <v>3133</v>
      </c>
      <c r="E169" s="2465"/>
      <c r="F169" s="2465"/>
      <c r="G169" s="1637"/>
      <c r="H169" s="1637"/>
      <c r="I169" s="3036">
        <v>5.3899999999999998E-4</v>
      </c>
      <c r="J169" s="1637"/>
      <c r="K169" s="1694">
        <v>5.2099999999999998E-4</v>
      </c>
      <c r="L169" s="1637"/>
      <c r="M169" s="1637"/>
      <c r="N169" s="1637"/>
      <c r="O169" s="1637"/>
      <c r="P169" s="1637"/>
      <c r="Q169" s="1637"/>
      <c r="R169" s="828"/>
      <c r="S169" s="828"/>
    </row>
    <row r="170" spans="2:19" hidden="1">
      <c r="B170" s="828"/>
      <c r="C170" s="1636"/>
      <c r="D170" s="2465" t="s">
        <v>3134</v>
      </c>
      <c r="E170" s="2465"/>
      <c r="F170" s="2465"/>
      <c r="G170" s="1637"/>
      <c r="H170" s="1637"/>
      <c r="I170" s="3036">
        <v>3.6499999999999998E-4</v>
      </c>
      <c r="J170" s="1637"/>
      <c r="K170" s="1694">
        <v>4.0999999999999999E-4</v>
      </c>
      <c r="L170" s="1637"/>
      <c r="M170" s="1637"/>
      <c r="N170" s="1637"/>
      <c r="O170" s="1637"/>
      <c r="P170" s="1637"/>
      <c r="Q170" s="1637"/>
      <c r="R170" s="828"/>
      <c r="S170" s="828"/>
    </row>
    <row r="171" spans="2:19" hidden="1">
      <c r="B171" s="828"/>
      <c r="C171" s="1636"/>
      <c r="D171" s="2465" t="s">
        <v>3135</v>
      </c>
      <c r="E171" s="2465"/>
      <c r="F171" s="2465"/>
      <c r="G171" s="1637"/>
      <c r="H171" s="1637"/>
      <c r="I171" s="3036">
        <v>0</v>
      </c>
      <c r="J171" s="1637"/>
      <c r="K171" s="1694">
        <v>1.4790000000000001E-3</v>
      </c>
      <c r="L171" s="1637"/>
      <c r="M171" s="1637"/>
      <c r="N171" s="1637"/>
      <c r="O171" s="1637"/>
      <c r="P171" s="1637"/>
      <c r="Q171" s="1637"/>
      <c r="R171" s="828"/>
      <c r="S171" s="828"/>
    </row>
    <row r="172" spans="2:19" hidden="1">
      <c r="B172" s="828"/>
      <c r="C172" s="1636"/>
      <c r="D172" s="2465" t="s">
        <v>3136</v>
      </c>
      <c r="E172" s="2465"/>
      <c r="F172" s="2465"/>
      <c r="G172" s="1637"/>
      <c r="H172" s="1637"/>
      <c r="I172" s="3036">
        <v>5.3200000000000003E-4</v>
      </c>
      <c r="J172" s="1637"/>
      <c r="K172" s="1694">
        <v>5.8799999999999998E-4</v>
      </c>
      <c r="L172" s="1637"/>
      <c r="M172" s="1637"/>
      <c r="N172" s="1637"/>
      <c r="O172" s="1637"/>
      <c r="P172" s="1637"/>
      <c r="Q172" s="1637"/>
      <c r="R172" s="828"/>
      <c r="S172" s="828"/>
    </row>
    <row r="173" spans="2:19" hidden="1">
      <c r="B173" s="828"/>
      <c r="C173" s="1636"/>
      <c r="D173" s="2465" t="s">
        <v>1884</v>
      </c>
      <c r="E173" s="2465"/>
      <c r="F173" s="2465"/>
      <c r="G173" s="1637"/>
      <c r="H173" s="1637"/>
      <c r="I173" s="3036">
        <v>3.86E-4</v>
      </c>
      <c r="J173" s="1637"/>
      <c r="K173" s="1694">
        <v>5.5199999999999997E-4</v>
      </c>
      <c r="L173" s="1637"/>
      <c r="M173" s="1637"/>
      <c r="N173" s="1637"/>
      <c r="O173" s="1637"/>
      <c r="P173" s="1637"/>
      <c r="Q173" s="1637"/>
      <c r="R173" s="828"/>
      <c r="S173" s="828"/>
    </row>
    <row r="174" spans="2:19" hidden="1">
      <c r="B174" s="828"/>
      <c r="C174" s="1636"/>
      <c r="D174" s="2465" t="s">
        <v>3137</v>
      </c>
      <c r="E174" s="2465"/>
      <c r="F174" s="2465"/>
      <c r="G174" s="1637"/>
      <c r="H174" s="1637"/>
      <c r="I174" s="3036">
        <v>6.2200000000000005E-4</v>
      </c>
      <c r="J174" s="1637"/>
      <c r="K174" s="1694">
        <v>6.11E-4</v>
      </c>
      <c r="L174" s="1637"/>
      <c r="M174" s="1637"/>
      <c r="N174" s="1637"/>
      <c r="O174" s="1637"/>
      <c r="P174" s="1637"/>
      <c r="Q174" s="1637"/>
      <c r="R174" s="828"/>
      <c r="S174" s="828"/>
    </row>
    <row r="175" spans="2:19" hidden="1">
      <c r="B175" s="828"/>
      <c r="C175" s="1636"/>
      <c r="D175" s="2465" t="s">
        <v>3138</v>
      </c>
      <c r="E175" s="2465"/>
      <c r="F175" s="2465"/>
      <c r="G175" s="1637"/>
      <c r="H175" s="1637"/>
      <c r="I175" s="3036">
        <v>1.1E-5</v>
      </c>
      <c r="J175" s="1637"/>
      <c r="K175" s="1694">
        <v>2.6499999999999999E-4</v>
      </c>
      <c r="L175" s="1637"/>
      <c r="M175" s="1637"/>
      <c r="N175" s="1637"/>
      <c r="O175" s="1637"/>
      <c r="P175" s="1637"/>
      <c r="Q175" s="1637"/>
      <c r="R175" s="828"/>
      <c r="S175" s="828"/>
    </row>
    <row r="176" spans="2:19" hidden="1">
      <c r="B176" s="828"/>
      <c r="C176" s="1636"/>
      <c r="D176" s="2465" t="s">
        <v>3139</v>
      </c>
      <c r="E176" s="2465"/>
      <c r="F176" s="2465"/>
      <c r="G176" s="1637"/>
      <c r="H176" s="1637"/>
      <c r="I176" s="3036">
        <v>5.8E-4</v>
      </c>
      <c r="J176" s="1637"/>
      <c r="K176" s="1694">
        <v>5.5999999999999995E-4</v>
      </c>
      <c r="L176" s="1637"/>
      <c r="M176" s="1637"/>
      <c r="N176" s="1637"/>
      <c r="O176" s="1637"/>
      <c r="P176" s="1637"/>
      <c r="Q176" s="1637"/>
      <c r="R176" s="828"/>
      <c r="S176" s="828"/>
    </row>
    <row r="177" spans="2:19" hidden="1">
      <c r="B177" s="828"/>
      <c r="C177" s="1636"/>
      <c r="D177" s="2465" t="s">
        <v>3140</v>
      </c>
      <c r="E177" s="2465"/>
      <c r="F177" s="2465"/>
      <c r="G177" s="1637"/>
      <c r="H177" s="1637"/>
      <c r="I177" s="3036">
        <v>4.8200000000000001E-4</v>
      </c>
      <c r="J177" s="1637"/>
      <c r="K177" s="1694">
        <v>4.8700000000000002E-4</v>
      </c>
      <c r="L177" s="1637"/>
      <c r="M177" s="1637"/>
      <c r="N177" s="1637"/>
      <c r="O177" s="1637"/>
      <c r="P177" s="1637"/>
      <c r="Q177" s="1637"/>
      <c r="R177" s="828"/>
      <c r="S177" s="828"/>
    </row>
    <row r="178" spans="2:19" hidden="1">
      <c r="B178" s="828"/>
      <c r="C178" s="1636"/>
      <c r="D178" s="2465" t="s">
        <v>3141</v>
      </c>
      <c r="E178" s="2465"/>
      <c r="F178" s="2465"/>
      <c r="G178" s="1637"/>
      <c r="H178" s="1637"/>
      <c r="I178" s="3036">
        <v>3.1100000000000002E-4</v>
      </c>
      <c r="J178" s="1637"/>
      <c r="K178" s="1694">
        <v>3.01E-4</v>
      </c>
      <c r="L178" s="1637"/>
      <c r="M178" s="1637"/>
      <c r="N178" s="1637"/>
      <c r="O178" s="1637"/>
      <c r="P178" s="1637"/>
      <c r="Q178" s="1637"/>
      <c r="R178" s="828"/>
      <c r="S178" s="828"/>
    </row>
    <row r="179" spans="2:19" hidden="1">
      <c r="B179" s="828"/>
      <c r="C179" s="1636"/>
      <c r="D179" s="2465" t="s">
        <v>3142</v>
      </c>
      <c r="E179" s="2465"/>
      <c r="F179" s="2465"/>
      <c r="G179" s="1637"/>
      <c r="H179" s="1637"/>
      <c r="I179" s="3036">
        <v>0</v>
      </c>
      <c r="J179" s="1637"/>
      <c r="K179" s="1694">
        <v>0</v>
      </c>
      <c r="L179" s="1637"/>
      <c r="M179" s="1637"/>
      <c r="N179" s="1637"/>
      <c r="O179" s="1637"/>
      <c r="P179" s="1637"/>
      <c r="Q179" s="1637"/>
      <c r="R179" s="828"/>
      <c r="S179" s="828"/>
    </row>
    <row r="180" spans="2:19" hidden="1">
      <c r="B180" s="828"/>
      <c r="C180" s="1636"/>
      <c r="D180" s="2465" t="s">
        <v>3143</v>
      </c>
      <c r="E180" s="2465"/>
      <c r="F180" s="2465"/>
      <c r="G180" s="1637"/>
      <c r="H180" s="1637"/>
      <c r="I180" s="3036">
        <v>4.66E-4</v>
      </c>
      <c r="J180" s="1637"/>
      <c r="K180" s="1694">
        <v>4.9799999999999996E-4</v>
      </c>
      <c r="L180" s="1637"/>
      <c r="M180" s="1637"/>
      <c r="N180" s="1637"/>
      <c r="O180" s="1637"/>
      <c r="P180" s="1637"/>
      <c r="Q180" s="1637"/>
      <c r="R180" s="828"/>
      <c r="S180" s="828"/>
    </row>
    <row r="181" spans="2:19" hidden="1">
      <c r="B181" s="828"/>
      <c r="C181" s="1636"/>
      <c r="D181" s="2465" t="s">
        <v>3144</v>
      </c>
      <c r="E181" s="2465"/>
      <c r="F181" s="2465"/>
      <c r="G181" s="1637"/>
      <c r="H181" s="1637"/>
      <c r="I181" s="3036">
        <v>5.8200000000000005E-4</v>
      </c>
      <c r="J181" s="1637"/>
      <c r="K181" s="1694">
        <v>0</v>
      </c>
      <c r="L181" s="1637"/>
      <c r="M181" s="1637"/>
      <c r="N181" s="1637"/>
      <c r="O181" s="1637"/>
      <c r="P181" s="1637"/>
      <c r="Q181" s="1637"/>
      <c r="R181" s="828"/>
      <c r="S181" s="828"/>
    </row>
    <row r="182" spans="2:19" hidden="1">
      <c r="B182" s="828"/>
      <c r="C182" s="1636"/>
      <c r="D182" s="2465" t="s">
        <v>3145</v>
      </c>
      <c r="E182" s="2465"/>
      <c r="F182" s="2465"/>
      <c r="G182" s="1637"/>
      <c r="H182" s="1637"/>
      <c r="I182" s="3036">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7"/>
      <c r="J183" s="1637"/>
      <c r="K183" s="1637"/>
      <c r="L183" s="1637"/>
      <c r="M183" s="1637"/>
      <c r="N183" s="1637"/>
      <c r="O183" s="1637"/>
      <c r="P183" s="1637"/>
      <c r="Q183" s="1637"/>
      <c r="R183" s="828"/>
      <c r="S183" s="828"/>
    </row>
    <row r="184" spans="2:19">
      <c r="B184" s="828"/>
      <c r="C184" s="1636"/>
      <c r="D184" s="1637" t="s">
        <v>1808</v>
      </c>
      <c r="E184" s="828"/>
      <c r="F184" s="1637"/>
      <c r="G184" s="1637"/>
      <c r="H184" s="1637"/>
      <c r="I184" s="3036">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1809</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2305</v>
      </c>
      <c r="E187" s="2152"/>
      <c r="F187" s="2153"/>
      <c r="G187" s="828"/>
      <c r="H187" s="2154" t="s">
        <v>2341</v>
      </c>
      <c r="I187" s="2158" t="s">
        <v>1009</v>
      </c>
      <c r="J187" s="2156"/>
      <c r="K187" s="2156"/>
      <c r="L187" s="2156"/>
      <c r="M187" s="2157"/>
      <c r="N187" s="2158" t="s">
        <v>2320</v>
      </c>
      <c r="O187" s="2159"/>
      <c r="P187" s="2159"/>
      <c r="Q187" s="2160"/>
      <c r="R187" s="3038" t="s">
        <v>3516</v>
      </c>
      <c r="S187" s="828"/>
    </row>
    <row r="188" spans="2:19" hidden="1">
      <c r="B188" s="828"/>
      <c r="C188" s="828"/>
      <c r="D188" s="2162"/>
      <c r="E188" s="2163"/>
      <c r="F188" s="2164"/>
      <c r="G188" s="828"/>
      <c r="H188" s="828"/>
      <c r="I188" s="2155">
        <v>300</v>
      </c>
      <c r="J188" s="2156">
        <v>2000</v>
      </c>
      <c r="K188" s="2156">
        <v>10000</v>
      </c>
      <c r="L188" s="2156">
        <v>30000</v>
      </c>
      <c r="M188" s="2157"/>
      <c r="N188" s="2165" t="e">
        <f>I96</f>
        <v>#VALUE!</v>
      </c>
      <c r="O188" s="2166">
        <f>I97</f>
        <v>4.9799999999999997E-2</v>
      </c>
      <c r="P188" s="2166">
        <f>I101</f>
        <v>6.855E-2</v>
      </c>
      <c r="Q188" s="2167"/>
      <c r="R188" s="2154"/>
      <c r="S188" s="828"/>
    </row>
    <row r="189" spans="2:19" ht="24">
      <c r="B189" s="828"/>
      <c r="C189" s="828"/>
      <c r="D189" s="2169"/>
      <c r="E189" s="2170"/>
      <c r="F189" s="2171"/>
      <c r="G189" s="828"/>
      <c r="H189" s="828"/>
      <c r="I189" s="2172" t="s">
        <v>2321</v>
      </c>
      <c r="J189" s="2173" t="s">
        <v>2322</v>
      </c>
      <c r="K189" s="2173" t="s">
        <v>2323</v>
      </c>
      <c r="L189" s="2173" t="s">
        <v>2324</v>
      </c>
      <c r="M189" s="2172" t="s">
        <v>2325</v>
      </c>
      <c r="N189" s="2172" t="s">
        <v>2326</v>
      </c>
      <c r="O189" s="2172" t="s">
        <v>1810</v>
      </c>
      <c r="P189" s="2172" t="s">
        <v>2327</v>
      </c>
      <c r="Q189" s="2174" t="s">
        <v>1629</v>
      </c>
      <c r="R189" s="3039" t="s">
        <v>3517</v>
      </c>
      <c r="S189" s="828"/>
    </row>
    <row r="190" spans="2:19" ht="14.25" customHeight="1">
      <c r="B190" s="828"/>
      <c r="C190" s="828"/>
      <c r="D190" s="2175" t="s">
        <v>1794</v>
      </c>
      <c r="E190" s="2158" t="s">
        <v>462</v>
      </c>
      <c r="F190" s="2176"/>
      <c r="G190" s="828">
        <f>メイン!R47</f>
        <v>30000</v>
      </c>
      <c r="H190" s="828">
        <f>IF(G190=0,0,IF(G190&lt;$I$188,I190,IF(G190&lt;$J$188,J190,IF(G190&lt;$K$188,K190,IF(G190&lt;$L$188,L190,M190)))))</f>
        <v>2230</v>
      </c>
      <c r="I190" s="2177">
        <v>1480</v>
      </c>
      <c r="J190" s="2177">
        <v>1480</v>
      </c>
      <c r="K190" s="2177">
        <v>1480</v>
      </c>
      <c r="L190" s="2177">
        <v>1900</v>
      </c>
      <c r="M190" s="2177">
        <v>2230</v>
      </c>
      <c r="N190" s="3019">
        <v>0.9</v>
      </c>
      <c r="O190" s="3019">
        <v>0.08</v>
      </c>
      <c r="P190" s="3019">
        <v>1.9999999999999976E-2</v>
      </c>
      <c r="Q190" s="3020" t="s">
        <v>2328</v>
      </c>
      <c r="R190" s="2180" t="e">
        <f t="shared" ref="R190:R205" si="39">SUMPRODUCT(N190:P190,$N$188:$P$188)</f>
        <v>#VALUE!</v>
      </c>
      <c r="S190" s="828"/>
    </row>
    <row r="191" spans="2:19" ht="14.25" customHeight="1">
      <c r="B191" s="828"/>
      <c r="C191" s="828"/>
      <c r="D191" s="2181"/>
      <c r="E191" s="2158" t="s">
        <v>2306</v>
      </c>
      <c r="F191" s="2176"/>
      <c r="G191" s="828">
        <f>メイン!R48</f>
        <v>0</v>
      </c>
      <c r="H191" s="828">
        <f>IF(G191=0,0,IF(G191&lt;$I$188,I191,IF(G191&lt;$J$188,J191,IF(G191&lt;$K$188,K191,IF(G191&lt;$L$188,L191,M191)))))</f>
        <v>0</v>
      </c>
      <c r="I191" s="2177">
        <v>1050</v>
      </c>
      <c r="J191" s="2177">
        <v>1050</v>
      </c>
      <c r="K191" s="2177">
        <v>1050</v>
      </c>
      <c r="L191" s="2177">
        <v>1220</v>
      </c>
      <c r="M191" s="2177">
        <v>1220</v>
      </c>
      <c r="N191" s="3019">
        <v>0.82</v>
      </c>
      <c r="O191" s="3019">
        <v>0.1</v>
      </c>
      <c r="P191" s="3019">
        <v>8.0000000000000043E-2</v>
      </c>
      <c r="Q191" s="3020" t="s">
        <v>2328</v>
      </c>
      <c r="R191" s="2180" t="e">
        <f>SUMPRODUCT(N191:P191,$N$188:$P$188)</f>
        <v>#VALUE!</v>
      </c>
      <c r="S191" s="828"/>
    </row>
    <row r="192" spans="2:19" ht="14.25" customHeight="1">
      <c r="B192" s="828"/>
      <c r="C192" s="828"/>
      <c r="D192" s="2182" t="s">
        <v>2310</v>
      </c>
      <c r="E192" s="2158" t="s">
        <v>2311</v>
      </c>
      <c r="F192" s="2176"/>
      <c r="G192" s="828">
        <f>メイン!R49</f>
        <v>0</v>
      </c>
      <c r="H192" s="828">
        <f>IF(G192=0,0,IF(G192&lt;$I$188,I192,IF(G192&lt;$J$188,J192,IF(G192&lt;$K$188,K192,IF(G192&lt;$L$188,L192,M192)))))</f>
        <v>0</v>
      </c>
      <c r="I192" s="2177">
        <v>540</v>
      </c>
      <c r="J192" s="2177">
        <v>540</v>
      </c>
      <c r="K192" s="2177">
        <v>540</v>
      </c>
      <c r="L192" s="2177">
        <v>540</v>
      </c>
      <c r="M192" s="2177">
        <v>540</v>
      </c>
      <c r="N192" s="3019">
        <v>0.68</v>
      </c>
      <c r="O192" s="3019">
        <v>0.18</v>
      </c>
      <c r="P192" s="3019">
        <v>0.13999999999999996</v>
      </c>
      <c r="Q192" s="3020" t="s">
        <v>2328</v>
      </c>
      <c r="R192" s="2180" t="e">
        <f t="shared" si="39"/>
        <v>#VALUE!</v>
      </c>
      <c r="S192" s="828"/>
    </row>
    <row r="193" spans="2:19" ht="14.25" customHeight="1">
      <c r="B193" s="828"/>
      <c r="C193" s="828"/>
      <c r="D193" s="2182"/>
      <c r="E193" s="2151" t="s">
        <v>2312</v>
      </c>
      <c r="F193" s="2172" t="s">
        <v>2313</v>
      </c>
      <c r="G193" s="828">
        <f>メイン!R50</f>
        <v>0</v>
      </c>
      <c r="H193" s="2183">
        <f>IF(G193&gt;0,I193,0)</f>
        <v>0</v>
      </c>
      <c r="I193" s="2177">
        <v>580</v>
      </c>
      <c r="J193" s="2177">
        <v>580</v>
      </c>
      <c r="K193" s="2177">
        <v>580</v>
      </c>
      <c r="L193" s="2177">
        <v>580</v>
      </c>
      <c r="M193" s="2177">
        <v>580</v>
      </c>
      <c r="N193" s="3019">
        <v>0.40660921848225862</v>
      </c>
      <c r="O193" s="3019">
        <v>8.785132326309128E-2</v>
      </c>
      <c r="P193" s="3019">
        <v>0.50553945825465008</v>
      </c>
      <c r="Q193" s="3020" t="s">
        <v>2328</v>
      </c>
      <c r="R193" s="2180" t="e">
        <f t="shared" si="39"/>
        <v>#VALUE!</v>
      </c>
      <c r="S193" s="828"/>
    </row>
    <row r="194" spans="2:19" ht="14.25" customHeight="1">
      <c r="B194" s="828"/>
      <c r="C194" s="828"/>
      <c r="D194" s="2182"/>
      <c r="E194" s="2169"/>
      <c r="F194" s="2172" t="s">
        <v>2704</v>
      </c>
      <c r="G194" s="828">
        <f>メイン!R51</f>
        <v>0</v>
      </c>
      <c r="H194" s="2183">
        <f>IF(G194&gt;0,I194,0)</f>
        <v>0</v>
      </c>
      <c r="I194" s="2177">
        <v>330</v>
      </c>
      <c r="J194" s="2177">
        <v>330</v>
      </c>
      <c r="K194" s="2177">
        <v>330</v>
      </c>
      <c r="L194" s="2177">
        <v>330</v>
      </c>
      <c r="M194" s="2177">
        <v>330</v>
      </c>
      <c r="N194" s="3019">
        <v>0.70611799443264323</v>
      </c>
      <c r="O194" s="3019">
        <v>0.22488944882084874</v>
      </c>
      <c r="P194" s="3019">
        <v>6.8992556746508032E-2</v>
      </c>
      <c r="Q194" s="3020" t="s">
        <v>2328</v>
      </c>
      <c r="R194" s="2180" t="e">
        <f t="shared" si="39"/>
        <v>#VALUE!</v>
      </c>
      <c r="S194" s="828"/>
    </row>
    <row r="195" spans="2:19" ht="14.25" customHeight="1">
      <c r="B195" s="828"/>
      <c r="C195" s="828"/>
      <c r="D195" s="2182"/>
      <c r="E195" s="2158" t="s">
        <v>2314</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9">
        <v>0.73</v>
      </c>
      <c r="O195" s="3019">
        <v>7.0000000000000007E-2</v>
      </c>
      <c r="P195" s="3019">
        <v>0.2</v>
      </c>
      <c r="Q195" s="3020" t="s">
        <v>2328</v>
      </c>
      <c r="R195" s="2180" t="e">
        <f t="shared" si="39"/>
        <v>#VALUE!</v>
      </c>
      <c r="S195" s="828"/>
    </row>
    <row r="196" spans="2:19" ht="14.25" customHeight="1">
      <c r="B196" s="828"/>
      <c r="C196" s="828"/>
      <c r="D196" s="2181"/>
      <c r="E196" s="2158" t="s">
        <v>2315</v>
      </c>
      <c r="F196" s="2176"/>
      <c r="G196" s="828">
        <f>メイン!R53</f>
        <v>0</v>
      </c>
      <c r="H196" s="828">
        <f t="shared" si="40"/>
        <v>0</v>
      </c>
      <c r="I196" s="2177">
        <v>840</v>
      </c>
      <c r="J196" s="2177">
        <v>840</v>
      </c>
      <c r="K196" s="2177">
        <v>840</v>
      </c>
      <c r="L196" s="2177">
        <v>870</v>
      </c>
      <c r="M196" s="2177">
        <v>1110</v>
      </c>
      <c r="N196" s="3019">
        <v>0.75</v>
      </c>
      <c r="O196" s="3019">
        <v>0.15</v>
      </c>
      <c r="P196" s="3019">
        <v>0.1</v>
      </c>
      <c r="Q196" s="3020" t="s">
        <v>2328</v>
      </c>
      <c r="R196" s="2180" t="e">
        <f t="shared" si="39"/>
        <v>#VALUE!</v>
      </c>
      <c r="S196" s="828"/>
    </row>
    <row r="197" spans="2:19" ht="14.25" customHeight="1">
      <c r="B197" s="828"/>
      <c r="C197" s="828"/>
      <c r="D197" s="2175" t="s">
        <v>2307</v>
      </c>
      <c r="E197" s="2158" t="s">
        <v>1971</v>
      </c>
      <c r="F197" s="2176"/>
      <c r="G197" s="828">
        <f>メイン!R54</f>
        <v>0</v>
      </c>
      <c r="H197" s="828">
        <f t="shared" si="40"/>
        <v>0</v>
      </c>
      <c r="I197" s="2177">
        <v>7270</v>
      </c>
      <c r="J197" s="2177">
        <v>7270</v>
      </c>
      <c r="K197" s="2177">
        <v>5010</v>
      </c>
      <c r="L197" s="2177">
        <v>3150</v>
      </c>
      <c r="M197" s="2177">
        <v>3150</v>
      </c>
      <c r="N197" s="3019">
        <v>0.92</v>
      </c>
      <c r="O197" s="3019">
        <v>0.04</v>
      </c>
      <c r="P197" s="3019">
        <v>3.9999999999999959E-2</v>
      </c>
      <c r="Q197" s="3020" t="s">
        <v>2328</v>
      </c>
      <c r="R197" s="2180" t="e">
        <f t="shared" si="39"/>
        <v>#VALUE!</v>
      </c>
      <c r="S197" s="828"/>
    </row>
    <row r="198" spans="2:19" ht="14.25" customHeight="1">
      <c r="B198" s="828"/>
      <c r="C198" s="828"/>
      <c r="D198" s="2181"/>
      <c r="E198" s="2158" t="s">
        <v>2308</v>
      </c>
      <c r="F198" s="2176"/>
      <c r="G198" s="828">
        <f>メイン!R55</f>
        <v>0</v>
      </c>
      <c r="H198" s="828">
        <f t="shared" si="40"/>
        <v>0</v>
      </c>
      <c r="I198" s="2177">
        <v>2290</v>
      </c>
      <c r="J198" s="2177">
        <v>2290</v>
      </c>
      <c r="K198" s="2177">
        <v>2290</v>
      </c>
      <c r="L198" s="2177">
        <v>2290</v>
      </c>
      <c r="M198" s="2177">
        <v>2290</v>
      </c>
      <c r="N198" s="3019">
        <v>0.93</v>
      </c>
      <c r="O198" s="3019">
        <v>0.04</v>
      </c>
      <c r="P198" s="3019">
        <v>2.999999999999995E-2</v>
      </c>
      <c r="Q198" s="3020" t="s">
        <v>2328</v>
      </c>
      <c r="R198" s="2180" t="e">
        <f t="shared" si="39"/>
        <v>#VALUE!</v>
      </c>
      <c r="S198" s="828"/>
    </row>
    <row r="199" spans="2:19" ht="14.25" customHeight="1">
      <c r="B199" s="828"/>
      <c r="C199" s="828"/>
      <c r="D199" s="2158" t="s">
        <v>468</v>
      </c>
      <c r="E199" s="2159"/>
      <c r="F199" s="2176"/>
      <c r="G199" s="828">
        <f>メイン!R56</f>
        <v>0</v>
      </c>
      <c r="H199" s="828">
        <f t="shared" si="40"/>
        <v>0</v>
      </c>
      <c r="I199" s="2177">
        <v>3150</v>
      </c>
      <c r="J199" s="2177">
        <v>3150</v>
      </c>
      <c r="K199" s="2177">
        <v>3150</v>
      </c>
      <c r="L199" s="2177">
        <v>3150</v>
      </c>
      <c r="M199" s="2177">
        <v>3150</v>
      </c>
      <c r="N199" s="3019">
        <v>0.49</v>
      </c>
      <c r="O199" s="3019">
        <v>0.38</v>
      </c>
      <c r="P199" s="3019">
        <v>0.13</v>
      </c>
      <c r="Q199" s="3020" t="s">
        <v>2328</v>
      </c>
      <c r="R199" s="2180" t="e">
        <f t="shared" si="39"/>
        <v>#VALUE!</v>
      </c>
      <c r="S199" s="828"/>
    </row>
    <row r="200" spans="2:19" ht="14.25" customHeight="1">
      <c r="B200" s="828"/>
      <c r="C200" s="828"/>
      <c r="D200" s="2175" t="s">
        <v>2316</v>
      </c>
      <c r="E200" s="2158" t="s">
        <v>2317</v>
      </c>
      <c r="F200" s="2176"/>
      <c r="G200" s="828">
        <f>メイン!R57</f>
        <v>0</v>
      </c>
      <c r="H200" s="828">
        <f t="shared" si="40"/>
        <v>0</v>
      </c>
      <c r="I200" s="2177">
        <v>980</v>
      </c>
      <c r="J200" s="2177">
        <v>980</v>
      </c>
      <c r="K200" s="2177">
        <v>980</v>
      </c>
      <c r="L200" s="2177">
        <v>1390</v>
      </c>
      <c r="M200" s="2177">
        <v>1390</v>
      </c>
      <c r="N200" s="3019">
        <v>0.76</v>
      </c>
      <c r="O200" s="3019">
        <v>0.17</v>
      </c>
      <c r="P200" s="3019">
        <v>6.9999999999999979E-2</v>
      </c>
      <c r="Q200" s="3020" t="s">
        <v>2328</v>
      </c>
      <c r="R200" s="2180" t="e">
        <f t="shared" si="39"/>
        <v>#VALUE!</v>
      </c>
      <c r="S200" s="828"/>
    </row>
    <row r="201" spans="2:19" ht="14.25" customHeight="1">
      <c r="B201" s="828"/>
      <c r="C201" s="828"/>
      <c r="D201" s="2182"/>
      <c r="E201" s="2158" t="s">
        <v>2318</v>
      </c>
      <c r="F201" s="2176"/>
      <c r="G201" s="828">
        <f>メイン!R58</f>
        <v>0</v>
      </c>
      <c r="H201" s="828">
        <f t="shared" si="40"/>
        <v>0</v>
      </c>
      <c r="I201" s="2177">
        <v>1080</v>
      </c>
      <c r="J201" s="2177">
        <v>1080</v>
      </c>
      <c r="K201" s="2177">
        <v>1080</v>
      </c>
      <c r="L201" s="2177">
        <v>1370</v>
      </c>
      <c r="M201" s="2177">
        <v>1370</v>
      </c>
      <c r="N201" s="3019">
        <v>0.81</v>
      </c>
      <c r="O201" s="3019">
        <v>0.09</v>
      </c>
      <c r="P201" s="3019">
        <v>9.999999999999995E-2</v>
      </c>
      <c r="Q201" s="3020" t="s">
        <v>2328</v>
      </c>
      <c r="R201" s="2180" t="e">
        <f t="shared" si="39"/>
        <v>#VALUE!</v>
      </c>
      <c r="S201" s="828"/>
    </row>
    <row r="202" spans="2:19" ht="14.25" customHeight="1">
      <c r="B202" s="828"/>
      <c r="C202" s="828"/>
      <c r="D202" s="2182"/>
      <c r="E202" s="2151" t="s">
        <v>2319</v>
      </c>
      <c r="F202" s="2153"/>
      <c r="G202" s="828">
        <f>メイン!R59</f>
        <v>0</v>
      </c>
      <c r="H202" s="828">
        <f t="shared" si="40"/>
        <v>0</v>
      </c>
      <c r="I202" s="2177">
        <v>1990</v>
      </c>
      <c r="J202" s="2177">
        <v>1990</v>
      </c>
      <c r="K202" s="2177">
        <v>1990</v>
      </c>
      <c r="L202" s="2177">
        <v>1400</v>
      </c>
      <c r="M202" s="2177">
        <v>1400</v>
      </c>
      <c r="N202" s="3019">
        <v>0.61</v>
      </c>
      <c r="O202" s="3019">
        <v>0.27</v>
      </c>
      <c r="P202" s="3019">
        <v>0.12</v>
      </c>
      <c r="Q202" s="3020" t="s">
        <v>2328</v>
      </c>
      <c r="R202" s="2180" t="e">
        <f t="shared" si="39"/>
        <v>#VALUE!</v>
      </c>
      <c r="S202" s="828"/>
    </row>
    <row r="203" spans="2:19" ht="14.25" customHeight="1">
      <c r="B203" s="828"/>
      <c r="C203" s="828"/>
      <c r="D203" s="2158" t="s">
        <v>478</v>
      </c>
      <c r="E203" s="2159"/>
      <c r="F203" s="2176"/>
      <c r="G203" s="828">
        <f>メイン!R60</f>
        <v>0</v>
      </c>
      <c r="H203" s="828">
        <f t="shared" si="40"/>
        <v>0</v>
      </c>
      <c r="I203" s="2177">
        <v>500</v>
      </c>
      <c r="J203" s="2177">
        <v>500</v>
      </c>
      <c r="K203" s="2177">
        <v>500</v>
      </c>
      <c r="L203" s="2177">
        <v>500</v>
      </c>
      <c r="M203" s="2177">
        <v>500</v>
      </c>
      <c r="N203" s="3019">
        <v>1</v>
      </c>
      <c r="O203" s="3019">
        <v>0</v>
      </c>
      <c r="P203" s="3019">
        <v>0</v>
      </c>
      <c r="Q203" s="3020" t="s">
        <v>2328</v>
      </c>
      <c r="R203" s="2180" t="e">
        <f t="shared" si="39"/>
        <v>#VALUE!</v>
      </c>
      <c r="S203" s="828"/>
    </row>
    <row r="204" spans="2:19" ht="14.25" customHeight="1">
      <c r="B204" s="828"/>
      <c r="C204" s="828"/>
      <c r="D204" s="2158" t="s">
        <v>472</v>
      </c>
      <c r="E204" s="2159"/>
      <c r="F204" s="2176"/>
      <c r="G204" s="828">
        <f>メイン!R61</f>
        <v>0</v>
      </c>
      <c r="H204" s="828">
        <f t="shared" si="40"/>
        <v>0</v>
      </c>
      <c r="I204" s="2177">
        <v>2200</v>
      </c>
      <c r="J204" s="2177">
        <v>2200</v>
      </c>
      <c r="K204" s="2177">
        <v>2200</v>
      </c>
      <c r="L204" s="2177">
        <v>2480</v>
      </c>
      <c r="M204" s="2177">
        <v>2990</v>
      </c>
      <c r="N204" s="3019">
        <v>0.56000000000000005</v>
      </c>
      <c r="O204" s="3019">
        <v>0.19</v>
      </c>
      <c r="P204" s="3019">
        <v>0.24999999999999994</v>
      </c>
      <c r="Q204" s="3020" t="s">
        <v>2328</v>
      </c>
      <c r="R204" s="2180" t="e">
        <f t="shared" si="39"/>
        <v>#VALUE!</v>
      </c>
      <c r="S204" s="828"/>
    </row>
    <row r="205" spans="2:19">
      <c r="B205" s="828"/>
      <c r="C205" s="828"/>
      <c r="D205" s="2158" t="s">
        <v>2309</v>
      </c>
      <c r="E205" s="2159"/>
      <c r="F205" s="2176"/>
      <c r="G205" s="828">
        <f>メイン!R62</f>
        <v>0</v>
      </c>
      <c r="H205" s="828">
        <f t="shared" si="40"/>
        <v>0</v>
      </c>
      <c r="I205" s="2177">
        <v>2450</v>
      </c>
      <c r="J205" s="2177">
        <v>2450</v>
      </c>
      <c r="K205" s="2177">
        <v>2450</v>
      </c>
      <c r="L205" s="2177">
        <v>2750</v>
      </c>
      <c r="M205" s="2177">
        <v>2830</v>
      </c>
      <c r="N205" s="3019">
        <v>0.56000000000000005</v>
      </c>
      <c r="O205" s="3019">
        <v>0.2</v>
      </c>
      <c r="P205" s="3019">
        <v>0.23999999999999994</v>
      </c>
      <c r="Q205" s="3020" t="s">
        <v>2328</v>
      </c>
      <c r="R205" s="2180" t="e">
        <f t="shared" si="39"/>
        <v>#VALUE!</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1" t="e">
        <f>I96</f>
        <v>#VALUE!</v>
      </c>
      <c r="O206" s="3022">
        <f>I97</f>
        <v>4.9799999999999997E-2</v>
      </c>
      <c r="P206" s="3022">
        <f>I99</f>
        <v>6.7799999999999999E-2</v>
      </c>
      <c r="Q206" s="3023">
        <f>I102</f>
        <v>5.8999999999999997E-2</v>
      </c>
      <c r="R206" s="2154"/>
      <c r="S206" s="828"/>
    </row>
    <row r="207" spans="2:19">
      <c r="B207" s="828"/>
      <c r="C207" s="828"/>
      <c r="D207" s="2168" t="s">
        <v>2089</v>
      </c>
      <c r="E207" s="2184" t="s">
        <v>2340</v>
      </c>
      <c r="F207" s="2185"/>
      <c r="G207" s="828"/>
      <c r="H207" s="828" t="str">
        <f>IF(G207&gt;=$I$188,I207,IF(G207&gt;=$J$188,J207,IF(G207&gt;=$K$188,K207,IF(G207&gt;=$L$188,L207,IF(G207&gt;=$M$188,M207,0)))))</f>
        <v>-</v>
      </c>
      <c r="I207" s="2241" t="s">
        <v>2328</v>
      </c>
      <c r="J207" s="2241" t="s">
        <v>2328</v>
      </c>
      <c r="K207" s="2241" t="s">
        <v>2328</v>
      </c>
      <c r="L207" s="2241" t="s">
        <v>2328</v>
      </c>
      <c r="M207" s="2241" t="s">
        <v>2328</v>
      </c>
      <c r="N207" s="3019">
        <v>0.51</v>
      </c>
      <c r="O207" s="3019">
        <v>0.20399999999999999</v>
      </c>
      <c r="P207" s="3019">
        <v>0.16700000000000001</v>
      </c>
      <c r="Q207" s="3019">
        <v>0.11</v>
      </c>
      <c r="R207" s="2180" t="e">
        <f>SUMPRODUCT(N207:Q207,$N$206:$Q$206)</f>
        <v>#VALUE!</v>
      </c>
      <c r="S207" s="828"/>
    </row>
    <row r="208" spans="2:19">
      <c r="B208" s="828"/>
      <c r="C208" s="828"/>
      <c r="D208" s="2186"/>
      <c r="E208" s="2187" t="s">
        <v>483</v>
      </c>
      <c r="F208" s="2188"/>
      <c r="G208" s="828"/>
      <c r="H208" s="828" t="str">
        <f>IF(G208&gt;=$I$188,I208,IF(G208&gt;=$J$188,J208,IF(G208&gt;=$K$188,K208,IF(G208&gt;=$L$188,L208,IF(G208&gt;=$M$188,M208,0)))))</f>
        <v>-</v>
      </c>
      <c r="I208" s="2241" t="s">
        <v>2328</v>
      </c>
      <c r="J208" s="2241" t="s">
        <v>2328</v>
      </c>
      <c r="K208" s="2241" t="s">
        <v>2328</v>
      </c>
      <c r="L208" s="2241" t="s">
        <v>2328</v>
      </c>
      <c r="M208" s="2241" t="s">
        <v>2328</v>
      </c>
      <c r="N208" s="2178">
        <v>1</v>
      </c>
      <c r="O208" s="2178">
        <v>0</v>
      </c>
      <c r="P208" s="2178">
        <v>0</v>
      </c>
      <c r="Q208" s="2179" t="s">
        <v>2328</v>
      </c>
      <c r="R208" s="2180" t="e">
        <f>SUMPRODUCT(N208:P208,$N$188:$P$188)</f>
        <v>#VALUE!</v>
      </c>
      <c r="S208" s="828"/>
    </row>
    <row r="209" spans="2:27" s="2385" customFormat="1" hidden="1">
      <c r="B209" s="828"/>
      <c r="C209" s="828"/>
      <c r="D209" s="2190" t="s">
        <v>2341</v>
      </c>
      <c r="E209" s="2416"/>
      <c r="F209" s="2188"/>
      <c r="G209" s="828"/>
      <c r="H209" s="828"/>
      <c r="I209" s="2241" t="s">
        <v>2328</v>
      </c>
      <c r="J209" s="2241" t="s">
        <v>2328</v>
      </c>
      <c r="K209" s="2241" t="s">
        <v>2328</v>
      </c>
      <c r="L209" s="2241" t="s">
        <v>2328</v>
      </c>
      <c r="M209" s="2241" t="s">
        <v>2328</v>
      </c>
      <c r="N209" s="2178"/>
      <c r="O209" s="2178"/>
      <c r="P209" s="2178"/>
      <c r="Q209" s="2179" t="s">
        <v>2328</v>
      </c>
      <c r="R209" s="2180" t="e">
        <f>SUMPRODUCT(N209:Q209,$N$188:$Q$188)</f>
        <v>#VALUE!</v>
      </c>
      <c r="S209" s="828"/>
    </row>
    <row r="210" spans="2:27">
      <c r="B210" s="828"/>
      <c r="C210" s="828"/>
      <c r="D210" s="2219" t="s">
        <v>1010</v>
      </c>
      <c r="E210" s="2189" t="s">
        <v>3341</v>
      </c>
      <c r="F210" s="828"/>
      <c r="G210" s="828"/>
      <c r="H210" s="828"/>
      <c r="I210" s="828"/>
      <c r="J210" s="828"/>
      <c r="K210" s="828"/>
      <c r="L210" s="828"/>
      <c r="M210" s="828"/>
      <c r="N210" s="828"/>
      <c r="O210" s="828"/>
      <c r="P210" s="2189" t="s">
        <v>2329</v>
      </c>
      <c r="Q210" s="828"/>
      <c r="R210" s="828"/>
      <c r="S210" s="828"/>
    </row>
    <row r="211" spans="2:27" ht="14.25" customHeight="1">
      <c r="B211" s="828"/>
      <c r="C211" s="828"/>
      <c r="D211" s="828"/>
      <c r="E211" s="2189" t="s">
        <v>3381</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3382</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3519</v>
      </c>
      <c r="E214" s="828"/>
      <c r="F214" s="828"/>
      <c r="G214" s="828"/>
      <c r="H214" s="828"/>
      <c r="I214" s="828"/>
      <c r="J214" s="828"/>
      <c r="K214" s="828"/>
      <c r="L214" s="828"/>
      <c r="M214" s="828"/>
      <c r="N214" s="2231"/>
      <c r="O214" s="828"/>
      <c r="P214" s="828"/>
      <c r="Q214" s="2219" t="s">
        <v>2914</v>
      </c>
      <c r="R214" s="828"/>
      <c r="S214" s="828"/>
    </row>
    <row r="215" spans="2:27" ht="14.25" customHeight="1">
      <c r="B215" s="828"/>
      <c r="C215" s="828"/>
      <c r="D215" s="2190" t="s">
        <v>2330</v>
      </c>
      <c r="E215" s="2191"/>
      <c r="F215" s="2161" t="s">
        <v>3492</v>
      </c>
      <c r="G215" s="828"/>
      <c r="H215" s="828"/>
      <c r="I215" s="2154" t="s">
        <v>2341</v>
      </c>
      <c r="J215" s="2190" t="s">
        <v>2331</v>
      </c>
      <c r="K215" s="2191"/>
      <c r="L215" s="2191"/>
      <c r="M215" s="2191"/>
      <c r="N215" s="2191"/>
      <c r="O215" s="2191"/>
      <c r="P215" s="2200" t="s">
        <v>3520</v>
      </c>
      <c r="Q215" s="2160"/>
      <c r="R215" s="828"/>
      <c r="T215" s="2243" t="s">
        <v>2932</v>
      </c>
      <c r="U215" s="2242"/>
      <c r="V215" s="2242"/>
      <c r="W215" s="2242"/>
      <c r="X215" s="2242"/>
      <c r="Y215" s="2242"/>
      <c r="Z215" s="2242"/>
      <c r="AA215" s="2242"/>
    </row>
    <row r="216" spans="2:27" ht="14.25" customHeight="1">
      <c r="B216" s="828"/>
      <c r="C216" s="828"/>
      <c r="D216" s="2154" t="s">
        <v>2332</v>
      </c>
      <c r="E216" s="2154" t="s">
        <v>2333</v>
      </c>
      <c r="F216" s="2168" t="s">
        <v>1352</v>
      </c>
      <c r="G216" s="828"/>
      <c r="H216" s="828">
        <v>1</v>
      </c>
      <c r="I216" s="2161" t="e">
        <f>メイン!K19</f>
        <v>#N/A</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2396</v>
      </c>
      <c r="G217" s="2154" t="s">
        <v>2915</v>
      </c>
      <c r="H217" s="2154">
        <v>2</v>
      </c>
      <c r="I217" s="2192" t="e">
        <f>HLOOKUP($I$216,$J$216:$Q$234,H217)</f>
        <v>#N/A</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2336</v>
      </c>
      <c r="E218" s="828" t="s">
        <v>2334</v>
      </c>
      <c r="F218" s="2154" t="s">
        <v>2335</v>
      </c>
      <c r="G218" s="2154" t="s">
        <v>1353</v>
      </c>
      <c r="H218" s="2154">
        <v>3</v>
      </c>
      <c r="I218" s="2192" t="e">
        <f t="shared" ref="I218:I233" si="42">HLOOKUP($I$216,$J$216:$Q$234,H218)</f>
        <v>#N/A</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3160</v>
      </c>
      <c r="G219" s="2154" t="s">
        <v>3161</v>
      </c>
      <c r="H219" s="828">
        <v>4</v>
      </c>
      <c r="I219" s="2192" t="e">
        <f t="shared" si="42"/>
        <v>#N/A</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2396</v>
      </c>
      <c r="G220" s="2154" t="s">
        <v>2916</v>
      </c>
      <c r="H220" s="2154">
        <v>5</v>
      </c>
      <c r="I220" s="2192" t="e">
        <f t="shared" si="42"/>
        <v>#N/A</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2336</v>
      </c>
      <c r="E221" s="2168" t="s">
        <v>2337</v>
      </c>
      <c r="F221" s="2160" t="s">
        <v>2335</v>
      </c>
      <c r="G221" s="2154" t="s">
        <v>1354</v>
      </c>
      <c r="H221" s="2154">
        <v>6</v>
      </c>
      <c r="I221" s="2192" t="e">
        <f t="shared" si="42"/>
        <v>#N/A</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3160</v>
      </c>
      <c r="G222" s="2154" t="s">
        <v>3162</v>
      </c>
      <c r="H222" s="828">
        <v>7</v>
      </c>
      <c r="I222" s="2192" t="e">
        <f t="shared" si="42"/>
        <v>#N/A</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2396</v>
      </c>
      <c r="G223" s="2154" t="s">
        <v>2917</v>
      </c>
      <c r="H223" s="2154">
        <v>8</v>
      </c>
      <c r="I223" s="2192" t="e">
        <f t="shared" si="42"/>
        <v>#N/A</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2338</v>
      </c>
      <c r="E224" s="2168" t="s">
        <v>2334</v>
      </c>
      <c r="F224" s="2154" t="s">
        <v>2335</v>
      </c>
      <c r="G224" s="2154" t="s">
        <v>1355</v>
      </c>
      <c r="H224" s="2154">
        <v>9</v>
      </c>
      <c r="I224" s="2192" t="e">
        <f t="shared" si="42"/>
        <v>#N/A</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3160</v>
      </c>
      <c r="G225" s="2154" t="s">
        <v>3163</v>
      </c>
      <c r="H225" s="828">
        <v>10</v>
      </c>
      <c r="I225" s="2192" t="e">
        <f t="shared" si="42"/>
        <v>#N/A</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2396</v>
      </c>
      <c r="G226" s="2154" t="s">
        <v>2918</v>
      </c>
      <c r="H226" s="2154">
        <v>11</v>
      </c>
      <c r="I226" s="2192" t="e">
        <f t="shared" si="42"/>
        <v>#N/A</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2338</v>
      </c>
      <c r="E227" s="2168" t="s">
        <v>2337</v>
      </c>
      <c r="F227" s="2160" t="s">
        <v>2335</v>
      </c>
      <c r="G227" s="2154" t="s">
        <v>1356</v>
      </c>
      <c r="H227" s="2154">
        <v>12</v>
      </c>
      <c r="I227" s="2192" t="e">
        <f t="shared" si="42"/>
        <v>#N/A</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3160</v>
      </c>
      <c r="G228" s="2154" t="s">
        <v>3164</v>
      </c>
      <c r="H228" s="828">
        <v>13</v>
      </c>
      <c r="I228" s="2192" t="e">
        <f t="shared" si="42"/>
        <v>#N/A</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2396</v>
      </c>
      <c r="G229" s="2154" t="s">
        <v>2919</v>
      </c>
      <c r="H229" s="2154">
        <v>14</v>
      </c>
      <c r="I229" s="2192" t="e">
        <f t="shared" si="42"/>
        <v>#N/A</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2339</v>
      </c>
      <c r="E230" s="2240" t="s">
        <v>2334</v>
      </c>
      <c r="F230" s="2154" t="s">
        <v>2335</v>
      </c>
      <c r="G230" s="2154" t="s">
        <v>1357</v>
      </c>
      <c r="H230" s="2154">
        <v>15</v>
      </c>
      <c r="I230" s="2192" t="e">
        <f t="shared" si="42"/>
        <v>#N/A</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822</v>
      </c>
      <c r="G231" s="2154" t="s">
        <v>3165</v>
      </c>
      <c r="H231" s="828">
        <v>16</v>
      </c>
      <c r="I231" s="2192" t="e">
        <f t="shared" si="42"/>
        <v>#N/A</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2396</v>
      </c>
      <c r="G232" s="2154" t="s">
        <v>2920</v>
      </c>
      <c r="H232" s="2154">
        <v>17</v>
      </c>
      <c r="I232" s="2192" t="e">
        <f t="shared" si="42"/>
        <v>#N/A</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2339</v>
      </c>
      <c r="E233" s="2168" t="s">
        <v>2337</v>
      </c>
      <c r="F233" s="2160" t="s">
        <v>2335</v>
      </c>
      <c r="G233" s="2154" t="s">
        <v>2921</v>
      </c>
      <c r="H233" s="2154">
        <v>18</v>
      </c>
      <c r="I233" s="2192" t="e">
        <f t="shared" si="42"/>
        <v>#N/A</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3160</v>
      </c>
      <c r="G234" s="2154" t="s">
        <v>3166</v>
      </c>
      <c r="H234" s="2154">
        <v>19</v>
      </c>
      <c r="I234" s="2192" t="e">
        <f>HLOOKUP($I$216,$J$216:$Q$234,H234)</f>
        <v>#N/A</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t="e">
        <f>IF(H235="-",HLOOKUP($I$216,$T$216:$AA$218,2,FALSE),VLOOKUP(H235,$H$217:$I$234,2))</f>
        <v>#N/A</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t="e">
        <f>IF(H236="-",HLOOKUP($I$216,$T$216:$AA$218,3,FALSE),VLOOKUP(H236,$H$217:$I$234,2))</f>
        <v>#N/A</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2889</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2607</v>
      </c>
      <c r="D240" s="1637"/>
      <c r="E240" s="1637"/>
      <c r="F240" s="1637"/>
      <c r="G240" s="1637"/>
      <c r="H240" s="1637"/>
      <c r="I240" s="1644" t="s">
        <v>772</v>
      </c>
      <c r="J240" s="1640"/>
      <c r="K240" s="1645"/>
      <c r="L240" s="1644" t="s">
        <v>771</v>
      </c>
      <c r="M240" s="1640"/>
      <c r="N240" s="1645"/>
      <c r="O240" s="1644" t="s">
        <v>773</v>
      </c>
      <c r="P240" s="1640"/>
      <c r="Q240" s="1645"/>
    </row>
    <row r="241" spans="3:17">
      <c r="C241" s="1637"/>
      <c r="D241" s="1700" t="s">
        <v>2608</v>
      </c>
      <c r="E241" s="1637"/>
      <c r="F241" s="1637"/>
      <c r="G241" s="1675"/>
      <c r="H241" s="1675"/>
      <c r="I241" s="1651" t="s">
        <v>523</v>
      </c>
      <c r="J241" s="1651" t="s">
        <v>524</v>
      </c>
      <c r="K241" s="1651" t="s">
        <v>525</v>
      </c>
      <c r="L241" s="1651" t="s">
        <v>523</v>
      </c>
      <c r="M241" s="1651" t="s">
        <v>524</v>
      </c>
      <c r="N241" s="1651" t="s">
        <v>525</v>
      </c>
      <c r="O241" s="1651" t="s">
        <v>523</v>
      </c>
      <c r="P241" s="1651" t="s">
        <v>524</v>
      </c>
      <c r="Q241" s="1651" t="s">
        <v>525</v>
      </c>
    </row>
    <row r="242" spans="3:17">
      <c r="C242" s="1637"/>
      <c r="D242" s="1637"/>
      <c r="E242" s="1646" t="s">
        <v>526</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464</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466</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468</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1973</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478</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472</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333</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476</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2400</v>
      </c>
      <c r="D252" s="1642"/>
      <c r="E252" s="1637"/>
      <c r="F252" s="1637"/>
      <c r="G252" s="1637"/>
      <c r="H252" s="1637"/>
      <c r="I252" s="868" t="s">
        <v>2609</v>
      </c>
      <c r="J252" s="1703" t="s">
        <v>3521</v>
      </c>
      <c r="K252" s="1703" t="s">
        <v>2610</v>
      </c>
      <c r="L252" s="868" t="s">
        <v>2609</v>
      </c>
      <c r="M252" s="1703" t="s">
        <v>3521</v>
      </c>
      <c r="N252" s="1703" t="s">
        <v>2610</v>
      </c>
      <c r="O252" s="868" t="s">
        <v>2609</v>
      </c>
      <c r="P252" s="1703" t="s">
        <v>3521</v>
      </c>
      <c r="Q252" s="1703" t="s">
        <v>2610</v>
      </c>
    </row>
    <row r="253" spans="3:17">
      <c r="C253" s="1637"/>
      <c r="D253" s="1637" t="s">
        <v>1794</v>
      </c>
      <c r="E253" s="1637" t="s">
        <v>2403</v>
      </c>
      <c r="F253" s="1637" t="s">
        <v>2404</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2405</v>
      </c>
      <c r="F254" s="1637" t="s">
        <v>2404</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2406</v>
      </c>
      <c r="F255" s="1637" t="s">
        <v>2407</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2408</v>
      </c>
      <c r="F256" s="1705" t="s">
        <v>2407</v>
      </c>
      <c r="G256" s="1705"/>
      <c r="H256" s="1705"/>
      <c r="I256" s="1704"/>
      <c r="J256" s="1704">
        <v>0</v>
      </c>
      <c r="K256" s="1704">
        <v>0</v>
      </c>
      <c r="L256" s="1704"/>
      <c r="M256" s="1704">
        <v>0</v>
      </c>
      <c r="N256" s="1704">
        <v>0</v>
      </c>
      <c r="O256" s="1704"/>
      <c r="P256" s="1704">
        <v>0</v>
      </c>
      <c r="Q256" s="1704">
        <v>0</v>
      </c>
    </row>
    <row r="257" spans="3:17">
      <c r="C257" s="1637"/>
      <c r="D257" s="1637"/>
      <c r="E257" s="1637" t="s">
        <v>2409</v>
      </c>
      <c r="F257" s="1637" t="s">
        <v>2407</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2087</v>
      </c>
      <c r="F258" s="1637" t="s">
        <v>2407</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1795</v>
      </c>
      <c r="E259" s="1637" t="s">
        <v>2403</v>
      </c>
      <c r="F259" s="1637" t="s">
        <v>2404</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2405</v>
      </c>
      <c r="F260" s="1637" t="s">
        <v>2404</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2406</v>
      </c>
      <c r="F261" s="1637" t="s">
        <v>2407</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2408</v>
      </c>
      <c r="F262" s="1705" t="s">
        <v>2407</v>
      </c>
      <c r="G262" s="1705"/>
      <c r="H262" s="1705"/>
      <c r="I262" s="1704"/>
      <c r="J262" s="1704">
        <v>0</v>
      </c>
      <c r="K262" s="1704">
        <v>0</v>
      </c>
      <c r="L262" s="1704"/>
      <c r="M262" s="1704">
        <v>0</v>
      </c>
      <c r="N262" s="1704">
        <v>0</v>
      </c>
      <c r="O262" s="1704"/>
      <c r="P262" s="1704">
        <v>0</v>
      </c>
      <c r="Q262" s="1704">
        <v>0</v>
      </c>
    </row>
    <row r="263" spans="3:17">
      <c r="C263" s="1637"/>
      <c r="D263" s="1637"/>
      <c r="E263" s="1637" t="s">
        <v>2409</v>
      </c>
      <c r="F263" s="1637" t="s">
        <v>2407</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2087</v>
      </c>
      <c r="F264" s="1637" t="s">
        <v>2407</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1970</v>
      </c>
      <c r="E265" s="1637" t="s">
        <v>2403</v>
      </c>
      <c r="F265" s="1637" t="s">
        <v>1955</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2405</v>
      </c>
      <c r="F266" s="1637" t="s">
        <v>2404</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2406</v>
      </c>
      <c r="F267" s="1637" t="s">
        <v>2407</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2408</v>
      </c>
      <c r="F268" s="1705" t="s">
        <v>2407</v>
      </c>
      <c r="G268" s="1705"/>
      <c r="H268" s="1705"/>
      <c r="I268" s="1704"/>
      <c r="J268" s="1704">
        <v>0</v>
      </c>
      <c r="K268" s="1704">
        <v>0</v>
      </c>
      <c r="L268" s="1704"/>
      <c r="M268" s="1704">
        <v>0</v>
      </c>
      <c r="N268" s="1704">
        <v>0</v>
      </c>
      <c r="O268" s="1704"/>
      <c r="P268" s="1704">
        <v>0</v>
      </c>
      <c r="Q268" s="1704">
        <v>0</v>
      </c>
    </row>
    <row r="269" spans="3:17">
      <c r="C269" s="1637"/>
      <c r="D269" s="1637"/>
      <c r="E269" s="1637" t="s">
        <v>2409</v>
      </c>
      <c r="F269" s="1637" t="s">
        <v>2407</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2087</v>
      </c>
      <c r="F270" s="1637" t="s">
        <v>2407</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2088</v>
      </c>
      <c r="E271" s="1637" t="s">
        <v>2403</v>
      </c>
      <c r="F271" s="1637" t="s">
        <v>2404</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2405</v>
      </c>
      <c r="F272" s="1637" t="s">
        <v>2404</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2406</v>
      </c>
      <c r="F273" s="1637" t="s">
        <v>2407</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2408</v>
      </c>
      <c r="F274" s="1705" t="s">
        <v>2407</v>
      </c>
      <c r="G274" s="1705"/>
      <c r="H274" s="1705"/>
      <c r="I274" s="1704"/>
      <c r="J274" s="1704">
        <v>0</v>
      </c>
      <c r="K274" s="1704">
        <v>0</v>
      </c>
      <c r="L274" s="1704"/>
      <c r="M274" s="1704">
        <v>0</v>
      </c>
      <c r="N274" s="1704">
        <v>0</v>
      </c>
      <c r="O274" s="1704"/>
      <c r="P274" s="1704">
        <v>0</v>
      </c>
      <c r="Q274" s="1704">
        <v>0</v>
      </c>
    </row>
    <row r="275" spans="3:17">
      <c r="C275" s="1637"/>
      <c r="D275" s="1637"/>
      <c r="E275" s="1637" t="s">
        <v>2409</v>
      </c>
      <c r="F275" s="1637" t="s">
        <v>2407</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2087</v>
      </c>
      <c r="F276" s="1637" t="s">
        <v>2407</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1972</v>
      </c>
      <c r="E277" s="1637" t="s">
        <v>2403</v>
      </c>
      <c r="F277" s="1637" t="s">
        <v>2404</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2405</v>
      </c>
      <c r="F278" s="1637" t="s">
        <v>2404</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2406</v>
      </c>
      <c r="F279" s="1637" t="s">
        <v>2407</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2408</v>
      </c>
      <c r="F280" s="1705" t="s">
        <v>2407</v>
      </c>
      <c r="G280" s="1705"/>
      <c r="H280" s="1705"/>
      <c r="I280" s="1704"/>
      <c r="J280" s="1704">
        <v>0</v>
      </c>
      <c r="K280" s="1704">
        <v>0</v>
      </c>
      <c r="L280" s="1704"/>
      <c r="M280" s="1704">
        <v>0</v>
      </c>
      <c r="N280" s="1704">
        <v>0</v>
      </c>
      <c r="O280" s="1704"/>
      <c r="P280" s="1704">
        <v>0</v>
      </c>
      <c r="Q280" s="1704">
        <v>0</v>
      </c>
    </row>
    <row r="281" spans="3:17">
      <c r="C281" s="1637"/>
      <c r="D281" s="1637"/>
      <c r="E281" s="1637" t="s">
        <v>2409</v>
      </c>
      <c r="F281" s="1637" t="s">
        <v>2407</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2087</v>
      </c>
      <c r="F282" s="1637" t="s">
        <v>2407</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478</v>
      </c>
      <c r="E283" s="1637" t="s">
        <v>2403</v>
      </c>
      <c r="F283" s="1637" t="s">
        <v>2404</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2405</v>
      </c>
      <c r="F284" s="1637" t="s">
        <v>2404</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2406</v>
      </c>
      <c r="F285" s="1637" t="s">
        <v>2407</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2408</v>
      </c>
      <c r="F286" s="1705" t="s">
        <v>2407</v>
      </c>
      <c r="G286" s="1705"/>
      <c r="H286" s="1705"/>
      <c r="I286" s="1704"/>
      <c r="J286" s="1704">
        <v>0</v>
      </c>
      <c r="K286" s="1704">
        <v>0</v>
      </c>
      <c r="L286" s="1704"/>
      <c r="M286" s="1704">
        <v>0</v>
      </c>
      <c r="N286" s="1704">
        <v>0</v>
      </c>
      <c r="O286" s="1704"/>
      <c r="P286" s="1704">
        <v>0</v>
      </c>
      <c r="Q286" s="1704">
        <v>0</v>
      </c>
    </row>
    <row r="287" spans="3:17">
      <c r="C287" s="1637"/>
      <c r="D287" s="1637"/>
      <c r="E287" s="1637" t="s">
        <v>2409</v>
      </c>
      <c r="F287" s="1637" t="s">
        <v>2407</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2087</v>
      </c>
      <c r="F288" s="1637" t="s">
        <v>2407</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1974</v>
      </c>
      <c r="E289" s="1637" t="s">
        <v>2403</v>
      </c>
      <c r="F289" s="1637" t="s">
        <v>2404</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2405</v>
      </c>
      <c r="F290" s="1637" t="s">
        <v>2404</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2406</v>
      </c>
      <c r="F291" s="1637" t="s">
        <v>2407</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2408</v>
      </c>
      <c r="F292" s="1705" t="s">
        <v>2407</v>
      </c>
      <c r="G292" s="1705"/>
      <c r="H292" s="1705"/>
      <c r="I292" s="1704"/>
      <c r="J292" s="1704">
        <v>0</v>
      </c>
      <c r="K292" s="1704">
        <v>0</v>
      </c>
      <c r="L292" s="1704"/>
      <c r="M292" s="1704">
        <v>0</v>
      </c>
      <c r="N292" s="1704">
        <v>0</v>
      </c>
      <c r="O292" s="1704"/>
      <c r="P292" s="1704">
        <v>0</v>
      </c>
      <c r="Q292" s="1704">
        <v>0</v>
      </c>
    </row>
    <row r="293" spans="3:17">
      <c r="C293" s="1637"/>
      <c r="D293" s="1637"/>
      <c r="E293" s="1637" t="s">
        <v>2409</v>
      </c>
      <c r="F293" s="1637" t="s">
        <v>2407</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2087</v>
      </c>
      <c r="F294" s="1637" t="s">
        <v>2407</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690</v>
      </c>
      <c r="E295" s="1637" t="s">
        <v>2403</v>
      </c>
      <c r="F295" s="1637" t="s">
        <v>2404</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2405</v>
      </c>
      <c r="F296" s="1637" t="s">
        <v>2404</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2406</v>
      </c>
      <c r="F297" s="1637" t="s">
        <v>2407</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2408</v>
      </c>
      <c r="F298" s="1705" t="s">
        <v>2407</v>
      </c>
      <c r="G298" s="1705"/>
      <c r="H298" s="1705"/>
      <c r="I298" s="1704"/>
      <c r="J298" s="1704">
        <v>0</v>
      </c>
      <c r="K298" s="1704">
        <v>0</v>
      </c>
      <c r="L298" s="1704"/>
      <c r="M298" s="1704">
        <v>0</v>
      </c>
      <c r="N298" s="1704">
        <v>0</v>
      </c>
      <c r="O298" s="1704"/>
      <c r="P298" s="1704">
        <v>0</v>
      </c>
      <c r="Q298" s="1704">
        <v>0</v>
      </c>
    </row>
    <row r="299" spans="3:17">
      <c r="C299" s="1637"/>
      <c r="D299" s="1637"/>
      <c r="E299" s="1637" t="s">
        <v>2409</v>
      </c>
      <c r="F299" s="1637" t="s">
        <v>2407</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2087</v>
      </c>
      <c r="F300" s="1637" t="s">
        <v>2407</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2089</v>
      </c>
      <c r="E301" s="1637" t="s">
        <v>2403</v>
      </c>
      <c r="F301" s="1637" t="s">
        <v>2404</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2405</v>
      </c>
      <c r="F302" s="1637" t="s">
        <v>2404</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2406</v>
      </c>
      <c r="F303" s="1637" t="s">
        <v>2407</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2408</v>
      </c>
      <c r="F304" s="1705" t="s">
        <v>2407</v>
      </c>
      <c r="G304" s="1705"/>
      <c r="H304" s="1705"/>
      <c r="I304" s="1704"/>
      <c r="J304" s="1704">
        <v>0</v>
      </c>
      <c r="K304" s="1704">
        <v>0</v>
      </c>
      <c r="L304" s="1704"/>
      <c r="M304" s="1704">
        <v>0</v>
      </c>
      <c r="N304" s="1704">
        <v>0</v>
      </c>
      <c r="O304" s="1704"/>
      <c r="P304" s="1704">
        <v>0</v>
      </c>
      <c r="Q304" s="1704">
        <v>0</v>
      </c>
    </row>
    <row r="305" spans="3:17">
      <c r="C305" s="1637"/>
      <c r="D305" s="1637"/>
      <c r="E305" s="1637" t="s">
        <v>2409</v>
      </c>
      <c r="F305" s="1637" t="s">
        <v>2407</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2087</v>
      </c>
      <c r="F306" s="1637" t="s">
        <v>2407</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2611</v>
      </c>
      <c r="D307" s="1642"/>
      <c r="E307" s="1637"/>
      <c r="F307" s="1637"/>
      <c r="G307" s="1637"/>
      <c r="H307" s="1637"/>
      <c r="I307" s="1637"/>
      <c r="J307" s="1702"/>
      <c r="K307" s="1702"/>
      <c r="L307" s="1702"/>
      <c r="M307" s="1702"/>
      <c r="N307" s="1702"/>
      <c r="O307" s="1702"/>
      <c r="P307" s="1702"/>
      <c r="Q307" s="1702"/>
    </row>
    <row r="308" spans="3:17">
      <c r="C308" s="1637"/>
      <c r="D308" s="1642" t="s">
        <v>2612</v>
      </c>
      <c r="E308" s="1637"/>
      <c r="F308" s="1637"/>
      <c r="G308" s="1637"/>
      <c r="H308" s="1637"/>
      <c r="I308" s="1697">
        <v>25</v>
      </c>
      <c r="J308" s="1702" t="s">
        <v>2613</v>
      </c>
      <c r="K308" s="1702"/>
      <c r="L308" s="1702"/>
      <c r="M308" s="1702"/>
      <c r="N308" s="1702"/>
      <c r="O308" s="1702"/>
      <c r="P308" s="1702"/>
      <c r="Q308" s="1702"/>
    </row>
    <row r="309" spans="3:17" hidden="1">
      <c r="C309" s="1637"/>
      <c r="D309" s="1652" t="s">
        <v>2614</v>
      </c>
      <c r="E309" s="1637"/>
      <c r="F309" s="1637"/>
      <c r="G309" s="1637"/>
      <c r="H309" s="1637"/>
      <c r="I309" s="1697"/>
      <c r="J309" s="1702"/>
      <c r="K309" s="1702"/>
      <c r="L309" s="1702"/>
      <c r="M309" s="1702"/>
      <c r="N309" s="1702"/>
      <c r="O309" s="1702"/>
      <c r="P309" s="1702"/>
      <c r="Q309" s="1702"/>
    </row>
    <row r="310" spans="3:17">
      <c r="C310" s="1637"/>
      <c r="D310" s="1642" t="s">
        <v>2615</v>
      </c>
      <c r="E310" s="1637"/>
      <c r="F310" s="1642"/>
      <c r="G310" s="1637"/>
      <c r="H310" s="1637"/>
      <c r="I310" s="1697">
        <v>18</v>
      </c>
      <c r="J310" s="1702" t="s">
        <v>2613</v>
      </c>
      <c r="K310" s="1702"/>
      <c r="L310" s="1702"/>
      <c r="M310" s="1702"/>
      <c r="N310" s="1702"/>
      <c r="O310" s="1702"/>
      <c r="P310" s="1702"/>
      <c r="Q310" s="1702"/>
    </row>
    <row r="311" spans="3:17">
      <c r="C311" s="1637"/>
      <c r="D311" s="1642" t="s">
        <v>2616</v>
      </c>
      <c r="E311" s="1637"/>
      <c r="F311" s="1642"/>
      <c r="G311" s="1637"/>
      <c r="H311" s="1637"/>
      <c r="I311" s="1697">
        <v>15</v>
      </c>
      <c r="J311" s="1702" t="s">
        <v>2613</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2617</v>
      </c>
      <c r="D313" s="1637"/>
      <c r="E313" s="1637"/>
      <c r="F313" s="1637"/>
      <c r="G313" s="1637"/>
      <c r="H313" s="1637"/>
      <c r="I313" s="1637"/>
      <c r="J313" s="1637"/>
      <c r="K313" s="1637"/>
      <c r="L313" s="1637"/>
      <c r="M313" s="1637"/>
      <c r="N313" s="1637"/>
      <c r="O313" s="1637"/>
      <c r="P313" s="1637"/>
      <c r="Q313" s="1637"/>
    </row>
    <row r="314" spans="3:17">
      <c r="C314" s="1637"/>
      <c r="D314" s="1637" t="s">
        <v>2612</v>
      </c>
      <c r="E314" s="1637"/>
      <c r="F314" s="1637"/>
      <c r="G314" s="1637"/>
      <c r="H314" s="1637"/>
      <c r="I314" s="1696">
        <v>0.01</v>
      </c>
      <c r="J314" s="1637" t="s">
        <v>2618</v>
      </c>
      <c r="K314" s="1637"/>
      <c r="L314" s="1637"/>
      <c r="M314" s="1637"/>
      <c r="N314" s="1637"/>
      <c r="O314" s="1637"/>
      <c r="P314" s="1637"/>
      <c r="Q314" s="1637"/>
    </row>
    <row r="315" spans="3:17">
      <c r="C315" s="1637"/>
      <c r="D315" s="1637" t="s">
        <v>2615</v>
      </c>
      <c r="E315" s="1637"/>
      <c r="F315" s="1637"/>
      <c r="G315" s="1637"/>
      <c r="H315" s="1637"/>
      <c r="I315" s="1696">
        <v>0.01</v>
      </c>
      <c r="J315" s="1637" t="s">
        <v>2618</v>
      </c>
      <c r="K315" s="1637"/>
      <c r="L315" s="1637"/>
      <c r="M315" s="1637"/>
      <c r="N315" s="1637"/>
      <c r="O315" s="1637"/>
      <c r="P315" s="1637"/>
      <c r="Q315" s="1637"/>
    </row>
    <row r="316" spans="3:17">
      <c r="C316" s="1637"/>
      <c r="D316" s="1637" t="s">
        <v>2616</v>
      </c>
      <c r="E316" s="1637"/>
      <c r="F316" s="1637"/>
      <c r="G316" s="1637"/>
      <c r="H316" s="1637"/>
      <c r="I316" s="1696">
        <v>0.02</v>
      </c>
      <c r="J316" s="1637" t="s">
        <v>2618</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algorithmName="SHA-512" hashValue="AH5ip53GkMcjj1hvwMS8MKsTvo4/RwR72Q6EWTU0Ob292n2dh290QXWXZZsiRedFU0mJowWOMVe2PqBNDUgl4w==" saltValue="xql/y5bWVb2CqPjiDrEDLw==" spinCount="10000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C6" sqref="C6"/>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8.75">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algorithmName="SHA-512" hashValue="tgjz1Ve0fQRewBdhw1GQl9Z272hQ0V4Be2E6ZmKR5mnAjgUw6hyWd7Uq1AqndpcjouPiW02yOslo3Ffa+VpXEw==" saltValue="jKp5J1Shd1ld0nQouuiEeg==" spinCount="100000"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結果_IS</vt:lpstr>
      <vt:lpstr>メイン</vt:lpstr>
      <vt:lpstr>結果</vt:lpstr>
      <vt:lpstr>結果②</vt:lpstr>
      <vt:lpstr>標章① </vt:lpstr>
      <vt:lpstr>配慮</vt:lpstr>
      <vt:lpstr>配慮②</vt:lpstr>
      <vt:lpstr>係数</vt:lpstr>
      <vt:lpstr>採点Q1</vt:lpstr>
      <vt:lpstr>採点Q2</vt:lpstr>
      <vt:lpstr>採点Q3</vt:lpstr>
      <vt:lpstr>採点LR1</vt:lpstr>
      <vt:lpstr>計画書</vt:lpstr>
      <vt:lpstr>採点LR2</vt:lpstr>
      <vt:lpstr>採点LR3</vt:lpstr>
      <vt:lpstr>スコア</vt:lpstr>
      <vt:lpstr>採点K</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結果②!Print_Area</vt:lpstr>
      <vt:lpstr>採点K!Print_Area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'標章① '!Print_Area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建築指導課１２</cp:lastModifiedBy>
  <cp:lastPrinted>2020-06-11T08:16:47Z</cp:lastPrinted>
  <dcterms:created xsi:type="dcterms:W3CDTF">2010-08-30T05:31:56Z</dcterms:created>
  <dcterms:modified xsi:type="dcterms:W3CDTF">2021-05-26T01:36:51Z</dcterms:modified>
</cp:coreProperties>
</file>